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0" windowWidth="15240" windowHeight="7095"/>
  </bookViews>
  <sheets>
    <sheet name="Exemple" sheetId="1" r:id="rId1"/>
    <sheet name="Piervallée" sheetId="4" r:id="rId2"/>
    <sheet name="Feuil2" sheetId="2" r:id="rId3"/>
    <sheet name="Feuil3" sheetId="3" r:id="rId4"/>
  </sheets>
  <definedNames>
    <definedName name="Bourgs" localSheetId="1">Piervallée!$C$198:$C$239</definedName>
    <definedName name="Bourgs">Exemple!$C$198:$C$239</definedName>
    <definedName name="Capitales" localSheetId="1">Piervallée!$C$128:$C$130</definedName>
    <definedName name="Capitales">Exemple!$C$128:$C$130</definedName>
    <definedName name="Lancé.0D" localSheetId="1">Piervallée!$H$176:$H$177</definedName>
    <definedName name="Lancé.0D">Exemple!$H$176:$H$177</definedName>
    <definedName name="Lancé.10D6" localSheetId="1">Piervallée!$G$189:$G$240</definedName>
    <definedName name="Lancé.10D6">Exemple!$G$189:$G$240</definedName>
    <definedName name="Lancé.12D6" localSheetId="1">Piervallée!$H$179:$H$240</definedName>
    <definedName name="Lancé.12D6">Exemple!$H$179:$H$240</definedName>
    <definedName name="Lancé.1D3" localSheetId="1">Piervallée!$F$171:$F$174</definedName>
    <definedName name="Lancé.1D3">Exemple!$F$171:$F$174</definedName>
    <definedName name="Lancé.1D6" localSheetId="1">Piervallée!$H$168:$H$174</definedName>
    <definedName name="Lancé.1D6">Exemple!$H$168:$H$174</definedName>
    <definedName name="Lancé.2D6" localSheetId="1">Piervallée!$D$196:$D$207</definedName>
    <definedName name="Lancé.2D6">Exemple!$D$196:$D$207</definedName>
    <definedName name="Lancé.4D6" localSheetId="1">Piervallée!$F$176:$F$197</definedName>
    <definedName name="Lancé.4D6">Exemple!$F$176:$F$197</definedName>
    <definedName name="Lancé.6D6" localSheetId="1">Piervallée!$D$209:$D$240</definedName>
    <definedName name="Lancé.6D6">Exemple!$D$209:$D$240</definedName>
    <definedName name="Lancé.8D6" localSheetId="1">Piervallée!$F$199:$F$240</definedName>
    <definedName name="Lancé.8D6">Exemple!$F$199:$F$240</definedName>
    <definedName name="Lieu" localSheetId="1">Piervallée!$B$152:$B$155</definedName>
    <definedName name="Lieu">Exemple!$B$152:$B$155</definedName>
    <definedName name="Mer" localSheetId="1">Piervallée!$B$207:$B$208</definedName>
    <definedName name="Mer">Exemple!$B$207:$B$208</definedName>
    <definedName name="Mode.combat" localSheetId="1">Piervallée!$E$140:$E$142</definedName>
    <definedName name="Mode.combat">Exemple!$E$140:$E$142</definedName>
    <definedName name="Moral" localSheetId="1">Piervallée!$B$210:$B$215</definedName>
    <definedName name="Moral">Exemple!$B$210:$B$215</definedName>
    <definedName name="Niveau" localSheetId="1">Piervallée!$B$217:$B$232</definedName>
    <definedName name="Niveau">Exemple!$B$217:$B$232</definedName>
    <definedName name="Notes" localSheetId="1">Piervallée!$D$181:$D$187</definedName>
    <definedName name="Notes">Exemple!$D$181:$D$187</definedName>
    <definedName name="Pertes" localSheetId="1">Piervallée!$E$129:$E$137</definedName>
    <definedName name="Pertes">Exemple!$E$129:$E$137</definedName>
    <definedName name="Plaine" localSheetId="1">Piervallée!$B$202:$B$205</definedName>
    <definedName name="Plaine">Exemple!$B$202:$B$205</definedName>
    <definedName name="Province" localSheetId="1">Piervallée!$B$176:$B$184</definedName>
    <definedName name="Province">Exemple!$B$176:$B$184</definedName>
    <definedName name="Province2" localSheetId="1">Piervallée!$B$186:$B$194</definedName>
    <definedName name="Province2">Exemple!$B$186:$B$194</definedName>
    <definedName name="PV" localSheetId="1">Piervallée!$D$126:$D$178</definedName>
    <definedName name="PV">Exemple!$D$126:$D$178</definedName>
    <definedName name="Rang" localSheetId="1">Piervallée!$B$157:$B$172</definedName>
    <definedName name="Rang">Exemple!$B$157:$B$172</definedName>
    <definedName name="Retard" localSheetId="1">Piervallée!$D$190:$D$194</definedName>
    <definedName name="Retard">Exemple!$D$190:$D$194</definedName>
    <definedName name="Seigneurie" localSheetId="1">Piervallée!$B$128:$B$150</definedName>
    <definedName name="Seigneurie">Exemple!$B$128:$B$150</definedName>
    <definedName name="Siège" localSheetId="1">Piervallée!$B$196:$B$200</definedName>
    <definedName name="Siège">Exemple!$B$196:$B$200</definedName>
    <definedName name="Villes" localSheetId="1">Piervallée!$C$128:$C$239</definedName>
    <definedName name="Villes">Exemple!$C$128:$C$239</definedName>
    <definedName name="Villes.maj" localSheetId="1">Piervallée!$C$132:$C$151</definedName>
    <definedName name="Villes.maj">Exemple!$C$132:$C$151</definedName>
    <definedName name="Villes.min" localSheetId="1">Piervallée!$C$153:$C$196</definedName>
    <definedName name="Villes.min">Exemple!$C$153:$C$196</definedName>
  </definedNames>
  <calcPr calcId="145621"/>
</workbook>
</file>

<file path=xl/calcChain.xml><?xml version="1.0" encoding="utf-8"?>
<calcChain xmlns="http://schemas.openxmlformats.org/spreadsheetml/2006/main">
  <c r="K110" i="1" l="1"/>
  <c r="J121" i="4" l="1"/>
  <c r="J120" i="4"/>
  <c r="J119" i="4"/>
  <c r="J118" i="4"/>
  <c r="J117" i="4"/>
  <c r="J115" i="4"/>
  <c r="J114" i="4"/>
  <c r="K110" i="4"/>
  <c r="J109" i="4"/>
  <c r="J108" i="4"/>
  <c r="J107" i="4"/>
  <c r="J106" i="4"/>
  <c r="J105" i="4"/>
  <c r="J104" i="4"/>
  <c r="J103" i="4"/>
  <c r="J102" i="4"/>
  <c r="J101" i="4"/>
  <c r="J100" i="4"/>
  <c r="AB111" i="4"/>
  <c r="AA111" i="4"/>
  <c r="W111" i="4"/>
  <c r="U111" i="4"/>
  <c r="W110" i="4"/>
  <c r="T110" i="4"/>
  <c r="W109" i="4"/>
  <c r="T109" i="4"/>
  <c r="W108" i="4"/>
  <c r="T108" i="4"/>
  <c r="U107" i="4"/>
  <c r="T107" i="4"/>
  <c r="S107" i="4"/>
  <c r="AB99" i="4"/>
  <c r="AA99" i="4"/>
  <c r="W99" i="4"/>
  <c r="U99" i="4"/>
  <c r="W98" i="4"/>
  <c r="T98" i="4"/>
  <c r="W97" i="4"/>
  <c r="T97" i="4"/>
  <c r="W96" i="4"/>
  <c r="T96" i="4"/>
  <c r="U95" i="4"/>
  <c r="T95" i="4"/>
  <c r="S95" i="4"/>
  <c r="AB87" i="4"/>
  <c r="AA87" i="4"/>
  <c r="W87" i="4"/>
  <c r="U87" i="4"/>
  <c r="W86" i="4"/>
  <c r="T86" i="4"/>
  <c r="W85" i="4"/>
  <c r="T85" i="4"/>
  <c r="W84" i="4"/>
  <c r="T84" i="4"/>
  <c r="U83" i="4"/>
  <c r="T83" i="4"/>
  <c r="S83" i="4"/>
  <c r="W74" i="4"/>
  <c r="T74" i="4"/>
  <c r="W73" i="4"/>
  <c r="T73" i="4"/>
  <c r="W72" i="4"/>
  <c r="T72" i="4"/>
  <c r="U71" i="4"/>
  <c r="T71" i="4"/>
  <c r="S71" i="4"/>
  <c r="AB58" i="4"/>
  <c r="AA58" i="4"/>
  <c r="W58" i="4"/>
  <c r="U58" i="4"/>
  <c r="W57" i="4"/>
  <c r="T57" i="4"/>
  <c r="W56" i="4"/>
  <c r="T56" i="4"/>
  <c r="W55" i="4"/>
  <c r="T55" i="4"/>
  <c r="U54" i="4"/>
  <c r="T54" i="4"/>
  <c r="S54" i="4"/>
  <c r="AB46" i="4"/>
  <c r="AA46" i="4"/>
  <c r="W46" i="4"/>
  <c r="U46" i="4"/>
  <c r="W45" i="4"/>
  <c r="T45" i="4"/>
  <c r="W44" i="4"/>
  <c r="T44" i="4"/>
  <c r="W43" i="4"/>
  <c r="T43" i="4"/>
  <c r="U42" i="4"/>
  <c r="T42" i="4"/>
  <c r="S42" i="4"/>
  <c r="AB34" i="4"/>
  <c r="AA34" i="4"/>
  <c r="W34" i="4"/>
  <c r="U34" i="4"/>
  <c r="W33" i="4"/>
  <c r="T33" i="4"/>
  <c r="W32" i="4"/>
  <c r="T32" i="4"/>
  <c r="W31" i="4"/>
  <c r="T31" i="4"/>
  <c r="U30" i="4"/>
  <c r="T30" i="4"/>
  <c r="S30" i="4"/>
  <c r="W21" i="4"/>
  <c r="T21" i="4"/>
  <c r="W20" i="4"/>
  <c r="T20" i="4"/>
  <c r="W19" i="4"/>
  <c r="T19" i="4"/>
  <c r="U18" i="4"/>
  <c r="T18" i="4"/>
  <c r="S18" i="4"/>
  <c r="S12" i="4"/>
  <c r="S11" i="4"/>
  <c r="S6" i="4"/>
  <c r="S5" i="4"/>
  <c r="B235" i="4"/>
  <c r="L165" i="4"/>
  <c r="J163" i="4"/>
  <c r="G160" i="4"/>
  <c r="H158" i="4" s="1"/>
  <c r="F160" i="4"/>
  <c r="H160" i="4" s="1"/>
  <c r="K154" i="4"/>
  <c r="J154" i="4"/>
  <c r="G154" i="4"/>
  <c r="G153" i="4"/>
  <c r="G155" i="4" s="1"/>
  <c r="J150" i="4"/>
  <c r="G150" i="4"/>
  <c r="N149" i="4"/>
  <c r="G149" i="4"/>
  <c r="G148" i="4"/>
  <c r="G145" i="4"/>
  <c r="R144" i="4"/>
  <c r="Q144" i="4"/>
  <c r="P144" i="4"/>
  <c r="O144" i="4"/>
  <c r="G144" i="4"/>
  <c r="R143" i="4"/>
  <c r="Q143" i="4"/>
  <c r="P143" i="4"/>
  <c r="O143" i="4"/>
  <c r="K143" i="4"/>
  <c r="J143" i="4"/>
  <c r="G143" i="4"/>
  <c r="R142" i="4"/>
  <c r="Q142" i="4"/>
  <c r="P142" i="4"/>
  <c r="O142" i="4"/>
  <c r="N138" i="4"/>
  <c r="N137" i="4"/>
  <c r="M137" i="4"/>
  <c r="L137" i="4"/>
  <c r="K137" i="4"/>
  <c r="J137" i="4"/>
  <c r="I137" i="4"/>
  <c r="H137" i="4"/>
  <c r="N136" i="4"/>
  <c r="M136" i="4"/>
  <c r="L136" i="4"/>
  <c r="K136" i="4"/>
  <c r="J136" i="4"/>
  <c r="I136" i="4"/>
  <c r="H136" i="4"/>
  <c r="N135" i="4"/>
  <c r="M135" i="4"/>
  <c r="L135" i="4"/>
  <c r="K135" i="4"/>
  <c r="J135" i="4"/>
  <c r="I135" i="4"/>
  <c r="H135" i="4"/>
  <c r="N134" i="4"/>
  <c r="M134" i="4"/>
  <c r="M138" i="4" s="1"/>
  <c r="L134" i="4"/>
  <c r="L138" i="4" s="1"/>
  <c r="J134" i="4"/>
  <c r="J138" i="4" s="1"/>
  <c r="I134" i="4"/>
  <c r="I138" i="4" s="1"/>
  <c r="H134" i="4"/>
  <c r="H138" i="4" s="1"/>
  <c r="N131" i="4"/>
  <c r="M131" i="4"/>
  <c r="L131" i="4"/>
  <c r="K131" i="4"/>
  <c r="J131" i="4"/>
  <c r="I131" i="4"/>
  <c r="H131" i="4"/>
  <c r="N130" i="4"/>
  <c r="M130" i="4"/>
  <c r="L130" i="4"/>
  <c r="K130" i="4"/>
  <c r="J130" i="4"/>
  <c r="I130" i="4"/>
  <c r="H130" i="4"/>
  <c r="N129" i="4"/>
  <c r="M129" i="4"/>
  <c r="L129" i="4"/>
  <c r="L132" i="4" s="1"/>
  <c r="K129" i="4"/>
  <c r="J129" i="4"/>
  <c r="I129" i="4"/>
  <c r="I132" i="4" s="1"/>
  <c r="H129" i="4"/>
  <c r="N128" i="4"/>
  <c r="N132" i="4" s="1"/>
  <c r="M128" i="4"/>
  <c r="M132" i="4" s="1"/>
  <c r="L128" i="4"/>
  <c r="K128" i="4"/>
  <c r="K132" i="4" s="1"/>
  <c r="J142" i="4" s="1"/>
  <c r="J144" i="4" s="1"/>
  <c r="J128" i="4"/>
  <c r="J132" i="4" s="1"/>
  <c r="I128" i="4"/>
  <c r="AA115" i="1"/>
  <c r="W110" i="1"/>
  <c r="T110" i="1"/>
  <c r="W109" i="1"/>
  <c r="T109" i="1"/>
  <c r="W108" i="1"/>
  <c r="T108" i="1"/>
  <c r="U107" i="1"/>
  <c r="T107" i="1"/>
  <c r="W98" i="1"/>
  <c r="T98" i="1"/>
  <c r="W97" i="1"/>
  <c r="T97" i="1"/>
  <c r="W96" i="1"/>
  <c r="T96" i="1"/>
  <c r="U95" i="1"/>
  <c r="T95" i="1"/>
  <c r="W86" i="1"/>
  <c r="T86" i="1"/>
  <c r="W85" i="1"/>
  <c r="T85" i="1"/>
  <c r="W84" i="1"/>
  <c r="T84" i="1"/>
  <c r="U83" i="1"/>
  <c r="T83" i="1"/>
  <c r="H157" i="4" l="1"/>
  <c r="H161" i="4"/>
  <c r="W57" i="1"/>
  <c r="T57" i="1"/>
  <c r="W56" i="1"/>
  <c r="T56" i="1"/>
  <c r="W55" i="1"/>
  <c r="T55" i="1"/>
  <c r="U54" i="1"/>
  <c r="T54" i="1"/>
  <c r="W45" i="1"/>
  <c r="T45" i="1"/>
  <c r="W44" i="1"/>
  <c r="T44" i="1"/>
  <c r="W43" i="1"/>
  <c r="T43" i="1"/>
  <c r="U42" i="1"/>
  <c r="T42" i="1"/>
  <c r="W33" i="1"/>
  <c r="T33" i="1"/>
  <c r="W32" i="1"/>
  <c r="T32" i="1"/>
  <c r="W31" i="1"/>
  <c r="T31" i="1"/>
  <c r="U30" i="1"/>
  <c r="T30" i="1"/>
  <c r="U18" i="1"/>
  <c r="T18" i="1"/>
  <c r="W74" i="1"/>
  <c r="T74" i="1"/>
  <c r="W73" i="1"/>
  <c r="T73" i="1"/>
  <c r="W72" i="1"/>
  <c r="T72" i="1"/>
  <c r="U71" i="1"/>
  <c r="T71" i="1"/>
  <c r="W21" i="1" l="1"/>
  <c r="T21" i="1"/>
  <c r="W20" i="1"/>
  <c r="T20" i="1"/>
  <c r="W19" i="1"/>
  <c r="T19" i="1"/>
  <c r="S12" i="1"/>
  <c r="S11" i="1"/>
  <c r="S6" i="1"/>
  <c r="S5" i="1"/>
  <c r="G111" i="4"/>
  <c r="E111" i="4"/>
  <c r="G110" i="4"/>
  <c r="E110" i="4"/>
  <c r="H109" i="4"/>
  <c r="G109" i="4"/>
  <c r="E109" i="4"/>
  <c r="E108" i="4"/>
  <c r="A107" i="4"/>
  <c r="F104" i="4"/>
  <c r="G99" i="4"/>
  <c r="E99" i="4"/>
  <c r="G98" i="4"/>
  <c r="E98" i="4"/>
  <c r="H97" i="4"/>
  <c r="G97" i="4"/>
  <c r="E97" i="4"/>
  <c r="E96" i="4"/>
  <c r="M95" i="4"/>
  <c r="A95" i="4"/>
  <c r="M94" i="4"/>
  <c r="F92" i="4"/>
  <c r="M91" i="4"/>
  <c r="M90" i="4"/>
  <c r="O89" i="4"/>
  <c r="O88" i="4"/>
  <c r="G86" i="4"/>
  <c r="E86" i="4"/>
  <c r="E87" i="4" s="1"/>
  <c r="H85" i="4"/>
  <c r="G85" i="4"/>
  <c r="E85" i="4"/>
  <c r="L84" i="4"/>
  <c r="E84" i="4"/>
  <c r="G87" i="4" s="1"/>
  <c r="A83" i="4"/>
  <c r="L81" i="4"/>
  <c r="L80" i="4"/>
  <c r="F80" i="4"/>
  <c r="O76" i="4"/>
  <c r="O75" i="4"/>
  <c r="G74" i="4"/>
  <c r="E74" i="4"/>
  <c r="H73" i="4"/>
  <c r="G73" i="4"/>
  <c r="E73" i="4"/>
  <c r="E72" i="4"/>
  <c r="A71" i="4"/>
  <c r="M68" i="4"/>
  <c r="F68" i="4"/>
  <c r="M67" i="4"/>
  <c r="L64" i="4"/>
  <c r="O63" i="4"/>
  <c r="L63" i="4"/>
  <c r="O62" i="4"/>
  <c r="L62" i="4"/>
  <c r="M61" i="4"/>
  <c r="M60" i="4"/>
  <c r="G58" i="4"/>
  <c r="E58" i="4"/>
  <c r="P57" i="4"/>
  <c r="G57" i="4"/>
  <c r="E57" i="4"/>
  <c r="P56" i="4"/>
  <c r="H56" i="4"/>
  <c r="G56" i="4"/>
  <c r="E56" i="4"/>
  <c r="M55" i="4"/>
  <c r="E55" i="4"/>
  <c r="M54" i="4"/>
  <c r="A54" i="4"/>
  <c r="M53" i="4"/>
  <c r="M52" i="4"/>
  <c r="F51" i="4"/>
  <c r="P49" i="4"/>
  <c r="P48" i="4"/>
  <c r="O45" i="4"/>
  <c r="G45" i="4"/>
  <c r="E45" i="4"/>
  <c r="H44" i="4"/>
  <c r="G44" i="4"/>
  <c r="E44" i="4"/>
  <c r="E43" i="4"/>
  <c r="E46" i="4" s="1"/>
  <c r="L42" i="4"/>
  <c r="J42" i="4" s="1"/>
  <c r="A42" i="4"/>
  <c r="J39" i="4"/>
  <c r="F39" i="4"/>
  <c r="L35" i="4"/>
  <c r="G33" i="4"/>
  <c r="E33" i="4"/>
  <c r="E34" i="4" s="1"/>
  <c r="H32" i="4"/>
  <c r="G32" i="4"/>
  <c r="E32" i="4"/>
  <c r="L31" i="4"/>
  <c r="E31" i="4"/>
  <c r="G34" i="4" s="1"/>
  <c r="A30" i="4"/>
  <c r="L29" i="4"/>
  <c r="F27" i="4"/>
  <c r="L25" i="4"/>
  <c r="G21" i="4"/>
  <c r="E21" i="4"/>
  <c r="H20" i="4"/>
  <c r="G20" i="4"/>
  <c r="E20" i="4"/>
  <c r="E19" i="4"/>
  <c r="A18" i="4"/>
  <c r="L15" i="4"/>
  <c r="L43" i="4" s="1"/>
  <c r="F15" i="4"/>
  <c r="L13" i="4"/>
  <c r="L11" i="4"/>
  <c r="L44" i="4" s="1"/>
  <c r="L9" i="4"/>
  <c r="E9" i="4"/>
  <c r="K150" i="4" l="1"/>
  <c r="N150" i="4"/>
  <c r="J62" i="4"/>
  <c r="L72" i="4"/>
  <c r="K69" i="4"/>
  <c r="L37" i="4"/>
  <c r="E75" i="4"/>
  <c r="L45" i="4"/>
  <c r="G75" i="4"/>
  <c r="R141" i="4" s="1"/>
  <c r="AA75" i="4" s="1"/>
  <c r="G22" i="4"/>
  <c r="Q141" i="4" s="1"/>
  <c r="AA22" i="4" s="1"/>
  <c r="O71" i="4"/>
  <c r="M71" i="4"/>
  <c r="N154" i="4" s="1"/>
  <c r="G46" i="4"/>
  <c r="J63" i="4"/>
  <c r="J71" i="4"/>
  <c r="E22" i="4"/>
  <c r="N71" i="4"/>
  <c r="F104" i="1"/>
  <c r="F92" i="1"/>
  <c r="F80" i="1"/>
  <c r="F68" i="1"/>
  <c r="F51" i="1"/>
  <c r="F39" i="1"/>
  <c r="F27" i="1"/>
  <c r="F15" i="1"/>
  <c r="G21" i="1"/>
  <c r="H20" i="1"/>
  <c r="H109" i="1"/>
  <c r="H97" i="1"/>
  <c r="H85" i="1"/>
  <c r="G109" i="1"/>
  <c r="G97" i="1"/>
  <c r="G85" i="1"/>
  <c r="G73" i="1"/>
  <c r="H73" i="1"/>
  <c r="G111" i="1"/>
  <c r="E111" i="1"/>
  <c r="E99" i="1"/>
  <c r="E58" i="1"/>
  <c r="G56" i="1"/>
  <c r="H56" i="1"/>
  <c r="H44" i="1"/>
  <c r="G44" i="1"/>
  <c r="H32" i="1"/>
  <c r="G32" i="1"/>
  <c r="G20" i="1"/>
  <c r="E9" i="1"/>
  <c r="O37" i="4" l="1"/>
  <c r="N151" i="4"/>
  <c r="O151" i="4"/>
  <c r="K151" i="4"/>
  <c r="G147" i="4"/>
  <c r="G146" i="4" s="1"/>
  <c r="K134" i="4"/>
  <c r="K138" i="4" s="1"/>
  <c r="K142" i="4" s="1"/>
  <c r="K144" i="4" s="1"/>
  <c r="O53" i="4" s="1"/>
  <c r="P141" i="4"/>
  <c r="U75" i="4" s="1"/>
  <c r="H128" i="4"/>
  <c r="H132" i="4" s="1"/>
  <c r="O141" i="4"/>
  <c r="U22" i="4" s="1"/>
  <c r="G142" i="4"/>
  <c r="G141" i="4" s="1"/>
  <c r="K155" i="4"/>
  <c r="J155" i="4"/>
  <c r="N152" i="4"/>
  <c r="N153" i="4"/>
  <c r="AB99" i="1"/>
  <c r="W99" i="1"/>
  <c r="AB111" i="1"/>
  <c r="W111" i="1"/>
  <c r="AB58" i="1"/>
  <c r="W58" i="1"/>
  <c r="J37" i="4"/>
  <c r="M37" i="4"/>
  <c r="M49" i="4"/>
  <c r="E115" i="4"/>
  <c r="M45" i="4"/>
  <c r="G115" i="4"/>
  <c r="R145" i="4" s="1"/>
  <c r="AA115" i="4" s="1"/>
  <c r="G62" i="4"/>
  <c r="Q145" i="4" s="1"/>
  <c r="AA62" i="4" s="1"/>
  <c r="M48" i="4"/>
  <c r="J152" i="4" s="1"/>
  <c r="E62" i="4"/>
  <c r="O52" i="4"/>
  <c r="L15" i="1"/>
  <c r="L13" i="1"/>
  <c r="L165" i="1"/>
  <c r="B235" i="1"/>
  <c r="E113" i="4" l="1"/>
  <c r="G135" i="4"/>
  <c r="K145" i="4" s="1"/>
  <c r="P145" i="4"/>
  <c r="E101" i="4"/>
  <c r="O145" i="4"/>
  <c r="G128" i="4"/>
  <c r="J145" i="4" s="1"/>
  <c r="J49" i="4"/>
  <c r="K152" i="4"/>
  <c r="E77" i="4"/>
  <c r="L21" i="4"/>
  <c r="N141" i="4" s="1"/>
  <c r="O55" i="4"/>
  <c r="M57" i="4" s="1"/>
  <c r="K153" i="4" s="1"/>
  <c r="E89" i="4"/>
  <c r="N21" i="4"/>
  <c r="N142" i="4" s="1"/>
  <c r="E24" i="4"/>
  <c r="E36" i="4"/>
  <c r="E48" i="4"/>
  <c r="E60" i="4"/>
  <c r="O54" i="4"/>
  <c r="M56" i="4" s="1"/>
  <c r="J153" i="4" s="1"/>
  <c r="J48" i="4"/>
  <c r="M95" i="1"/>
  <c r="M94" i="1"/>
  <c r="J163" i="1"/>
  <c r="M91" i="1"/>
  <c r="M90" i="1"/>
  <c r="O89" i="1"/>
  <c r="O88" i="1"/>
  <c r="L9" i="1"/>
  <c r="J57" i="4" l="1"/>
  <c r="P21" i="4"/>
  <c r="J56" i="4"/>
  <c r="F160" i="1"/>
  <c r="G160" i="1"/>
  <c r="H158" i="1" s="1"/>
  <c r="L84" i="1"/>
  <c r="L81" i="1"/>
  <c r="L80" i="1"/>
  <c r="O75" i="1"/>
  <c r="O76" i="1"/>
  <c r="J22" i="4" l="1"/>
  <c r="N143" i="4"/>
  <c r="M22" i="4"/>
  <c r="O22" i="4"/>
  <c r="H160" i="1"/>
  <c r="H157" i="1"/>
  <c r="H161" i="1"/>
  <c r="G154" i="1"/>
  <c r="G153" i="1"/>
  <c r="M68" i="1"/>
  <c r="M67" i="1"/>
  <c r="O45" i="1"/>
  <c r="L64" i="1"/>
  <c r="L63" i="1"/>
  <c r="L62" i="1"/>
  <c r="O63" i="1"/>
  <c r="O62" i="1"/>
  <c r="M61" i="1"/>
  <c r="M60" i="1"/>
  <c r="M53" i="1"/>
  <c r="M52" i="1"/>
  <c r="M54" i="1"/>
  <c r="M55" i="1"/>
  <c r="P57" i="1"/>
  <c r="P56" i="1"/>
  <c r="P48" i="1"/>
  <c r="P49" i="1"/>
  <c r="K149" i="4" l="1"/>
  <c r="L76" i="4" s="1"/>
  <c r="J149" i="4"/>
  <c r="L75" i="4" s="1"/>
  <c r="N22" i="4"/>
  <c r="O148" i="4"/>
  <c r="N148" i="4"/>
  <c r="J114" i="1"/>
  <c r="J63" i="1"/>
  <c r="J108" i="1" s="1"/>
  <c r="K154" i="1"/>
  <c r="J62" i="1"/>
  <c r="J107" i="1" s="1"/>
  <c r="J154" i="1"/>
  <c r="K69" i="1"/>
  <c r="L72" i="1"/>
  <c r="G155" i="1"/>
  <c r="L42" i="1"/>
  <c r="K77" i="4" l="1"/>
  <c r="M71" i="1"/>
  <c r="J71" i="1"/>
  <c r="O71" i="1"/>
  <c r="N152" i="1" s="1"/>
  <c r="N71" i="1"/>
  <c r="J42" i="1"/>
  <c r="J39" i="1"/>
  <c r="L31" i="1"/>
  <c r="L35" i="1"/>
  <c r="L11" i="1"/>
  <c r="L44" i="1" s="1"/>
  <c r="L29" i="1"/>
  <c r="N156" i="4" l="1"/>
  <c r="N155" i="4"/>
  <c r="M77" i="4"/>
  <c r="L77" i="4"/>
  <c r="J77" i="4"/>
  <c r="L43" i="1"/>
  <c r="L45" i="1" s="1"/>
  <c r="N153" i="1"/>
  <c r="N154" i="1"/>
  <c r="J155" i="1"/>
  <c r="J150" i="1"/>
  <c r="N149" i="1"/>
  <c r="K150" i="1"/>
  <c r="N150" i="1"/>
  <c r="K155" i="1"/>
  <c r="L37" i="1"/>
  <c r="L25" i="1"/>
  <c r="G159" i="4" l="1"/>
  <c r="G161" i="4" s="1"/>
  <c r="F159" i="4"/>
  <c r="F161" i="4" s="1"/>
  <c r="J106" i="1"/>
  <c r="J109" i="1"/>
  <c r="O151" i="1"/>
  <c r="N151" i="1"/>
  <c r="M45" i="1"/>
  <c r="K151" i="1"/>
  <c r="O37" i="1"/>
  <c r="J37" i="1"/>
  <c r="M37" i="1"/>
  <c r="A18" i="1"/>
  <c r="S18" i="1" s="1"/>
  <c r="N82" i="4" l="1"/>
  <c r="L82" i="4"/>
  <c r="J101" i="1"/>
  <c r="H130" i="1"/>
  <c r="N129" i="1"/>
  <c r="M129" i="1"/>
  <c r="L129" i="1"/>
  <c r="K129" i="1"/>
  <c r="J129" i="1"/>
  <c r="I129" i="1"/>
  <c r="H137" i="1"/>
  <c r="N137" i="1"/>
  <c r="M137" i="1"/>
  <c r="L137" i="1"/>
  <c r="K137" i="1"/>
  <c r="J137" i="1"/>
  <c r="I137" i="1"/>
  <c r="H136" i="1"/>
  <c r="N136" i="1"/>
  <c r="M136" i="1"/>
  <c r="L136" i="1"/>
  <c r="K136" i="1"/>
  <c r="J136" i="1"/>
  <c r="I136" i="1"/>
  <c r="M135" i="1"/>
  <c r="L135" i="1"/>
  <c r="K135" i="1"/>
  <c r="J135" i="1"/>
  <c r="I135" i="1"/>
  <c r="H135" i="1"/>
  <c r="M134" i="1"/>
  <c r="L134" i="1"/>
  <c r="K134" i="1"/>
  <c r="J134" i="1"/>
  <c r="I134" i="1"/>
  <c r="M131" i="1"/>
  <c r="L131" i="1"/>
  <c r="K131" i="1"/>
  <c r="J131" i="1"/>
  <c r="I131" i="1"/>
  <c r="H131" i="1"/>
  <c r="N130" i="1"/>
  <c r="M130" i="1"/>
  <c r="L130" i="1"/>
  <c r="K130" i="1"/>
  <c r="J130" i="1"/>
  <c r="K128" i="1"/>
  <c r="J128" i="1"/>
  <c r="R144" i="1"/>
  <c r="AA111" i="1" s="1"/>
  <c r="G99" i="1"/>
  <c r="R143" i="1" s="1"/>
  <c r="AA99" i="1" s="1"/>
  <c r="P143" i="1"/>
  <c r="U99" i="1" s="1"/>
  <c r="G58" i="1"/>
  <c r="Q144" i="1" s="1"/>
  <c r="AA58" i="1" s="1"/>
  <c r="O144" i="1"/>
  <c r="U58" i="1" s="1"/>
  <c r="L174" i="4" l="1"/>
  <c r="L175" i="4" s="1"/>
  <c r="L158" i="4"/>
  <c r="N157" i="4"/>
  <c r="L179" i="4"/>
  <c r="L181" i="4" s="1"/>
  <c r="L159" i="4"/>
  <c r="L177" i="4"/>
  <c r="L178" i="4" s="1"/>
  <c r="I159" i="4"/>
  <c r="L176" i="4"/>
  <c r="L180" i="4" s="1"/>
  <c r="O95" i="4"/>
  <c r="K183" i="4" s="1"/>
  <c r="O94" i="4"/>
  <c r="J183" i="4" s="1"/>
  <c r="J82" i="4"/>
  <c r="L89" i="4"/>
  <c r="F166" i="4" s="1"/>
  <c r="L88" i="4"/>
  <c r="F165" i="4" s="1"/>
  <c r="M82" i="4"/>
  <c r="G150" i="1"/>
  <c r="P144" i="1"/>
  <c r="U111" i="1" s="1"/>
  <c r="G149" i="1"/>
  <c r="N131" i="1"/>
  <c r="G145" i="1"/>
  <c r="J138" i="1"/>
  <c r="K138" i="1"/>
  <c r="L138" i="1"/>
  <c r="M138" i="1"/>
  <c r="J132" i="1"/>
  <c r="K132" i="1"/>
  <c r="I138" i="1"/>
  <c r="K143" i="1" s="1"/>
  <c r="M128" i="1"/>
  <c r="M132" i="1" s="1"/>
  <c r="L128" i="1"/>
  <c r="L132" i="1" s="1"/>
  <c r="I128" i="1"/>
  <c r="N128" i="1"/>
  <c r="T94" i="4" l="1"/>
  <c r="T17" i="4"/>
  <c r="T29" i="4"/>
  <c r="T106" i="4"/>
  <c r="T82" i="4"/>
  <c r="T41" i="4"/>
  <c r="T53" i="4"/>
  <c r="T70" i="4"/>
  <c r="L161" i="4"/>
  <c r="M160" i="4"/>
  <c r="L188" i="4"/>
  <c r="M188" i="4" s="1"/>
  <c r="L186" i="4"/>
  <c r="L187" i="4"/>
  <c r="M187" i="4" s="1"/>
  <c r="G167" i="4"/>
  <c r="J164" i="4"/>
  <c r="J165" i="4"/>
  <c r="G168" i="4"/>
  <c r="L189" i="4"/>
  <c r="L190" i="4"/>
  <c r="M190" i="4" s="1"/>
  <c r="L191" i="4"/>
  <c r="M191" i="4" s="1"/>
  <c r="N132" i="1"/>
  <c r="E110" i="1"/>
  <c r="E109" i="1"/>
  <c r="E108" i="1"/>
  <c r="E98" i="1"/>
  <c r="E97" i="1"/>
  <c r="E96" i="1"/>
  <c r="E86" i="1"/>
  <c r="E85" i="1"/>
  <c r="E84" i="1"/>
  <c r="G110" i="1"/>
  <c r="A107" i="1"/>
  <c r="S107" i="1" s="1"/>
  <c r="G98" i="1"/>
  <c r="A95" i="1"/>
  <c r="S95" i="1" s="1"/>
  <c r="G86" i="1"/>
  <c r="A83" i="1"/>
  <c r="S83" i="1" s="1"/>
  <c r="G74" i="1"/>
  <c r="E74" i="1"/>
  <c r="E73" i="1"/>
  <c r="E72" i="1"/>
  <c r="A71" i="1"/>
  <c r="S71" i="1" s="1"/>
  <c r="G57" i="1"/>
  <c r="G45" i="1"/>
  <c r="G33" i="1"/>
  <c r="E57" i="1"/>
  <c r="E56" i="1"/>
  <c r="E55" i="1"/>
  <c r="A54" i="1"/>
  <c r="S54" i="1" s="1"/>
  <c r="E45" i="1"/>
  <c r="E44" i="1"/>
  <c r="E43" i="1"/>
  <c r="A42" i="1"/>
  <c r="S42" i="1" s="1"/>
  <c r="E33" i="1"/>
  <c r="E32" i="1"/>
  <c r="E31" i="1"/>
  <c r="A30" i="1"/>
  <c r="S30" i="1" s="1"/>
  <c r="E20" i="1"/>
  <c r="E21" i="1"/>
  <c r="E19" i="1"/>
  <c r="V56" i="4" l="1"/>
  <c r="V44" i="4"/>
  <c r="V20" i="4"/>
  <c r="V32" i="4"/>
  <c r="V21" i="4"/>
  <c r="V57" i="4"/>
  <c r="V33" i="4"/>
  <c r="V45" i="4"/>
  <c r="V86" i="4"/>
  <c r="V110" i="4"/>
  <c r="V98" i="4"/>
  <c r="V74" i="4"/>
  <c r="V97" i="4"/>
  <c r="V73" i="4"/>
  <c r="V85" i="4"/>
  <c r="V109" i="4"/>
  <c r="O191" i="4"/>
  <c r="N191" i="4"/>
  <c r="O190" i="4"/>
  <c r="N190" i="4"/>
  <c r="O188" i="4"/>
  <c r="N188" i="4"/>
  <c r="O187" i="4"/>
  <c r="N187" i="4"/>
  <c r="M186" i="4"/>
  <c r="L183" i="4"/>
  <c r="M189" i="4"/>
  <c r="L184" i="4"/>
  <c r="L163" i="4"/>
  <c r="L166" i="4"/>
  <c r="L171" i="4"/>
  <c r="L162" i="4"/>
  <c r="L170" i="4"/>
  <c r="L169" i="4"/>
  <c r="L164" i="4"/>
  <c r="L167" i="4"/>
  <c r="K170" i="4"/>
  <c r="L160" i="4"/>
  <c r="M83" i="4" s="1"/>
  <c r="E22" i="1"/>
  <c r="E87" i="1"/>
  <c r="J93" i="4"/>
  <c r="E46" i="1"/>
  <c r="E34" i="1"/>
  <c r="E75" i="1"/>
  <c r="G87" i="1"/>
  <c r="R142" i="1" s="1"/>
  <c r="AA87" i="1" s="1"/>
  <c r="G46" i="1"/>
  <c r="Q143" i="1" s="1"/>
  <c r="AA46" i="1" s="1"/>
  <c r="G34" i="1"/>
  <c r="Q142" i="1" s="1"/>
  <c r="AA34" i="1" s="1"/>
  <c r="G75" i="1"/>
  <c r="R141" i="1" s="1"/>
  <c r="AA75" i="1" s="1"/>
  <c r="G22" i="1"/>
  <c r="P190" i="4" l="1"/>
  <c r="L172" i="4"/>
  <c r="AB86" i="4"/>
  <c r="Z86" i="4"/>
  <c r="Z109" i="4"/>
  <c r="AB109" i="4"/>
  <c r="AB33" i="4"/>
  <c r="Z33" i="4"/>
  <c r="AB57" i="4"/>
  <c r="Z57" i="4"/>
  <c r="AB97" i="4"/>
  <c r="Z97" i="4"/>
  <c r="AB21" i="4"/>
  <c r="Z21" i="4"/>
  <c r="Z98" i="4"/>
  <c r="AB98" i="4"/>
  <c r="AB20" i="4"/>
  <c r="Z20" i="4"/>
  <c r="V31" i="4"/>
  <c r="Z31" i="4" s="1"/>
  <c r="V43" i="4"/>
  <c r="Z43" i="4" s="1"/>
  <c r="V55" i="4"/>
  <c r="Z55" i="4" s="1"/>
  <c r="V19" i="4"/>
  <c r="Z19" i="4" s="1"/>
  <c r="AB56" i="4"/>
  <c r="Z56" i="4"/>
  <c r="AB45" i="4"/>
  <c r="Z45" i="4"/>
  <c r="AB85" i="4"/>
  <c r="Z85" i="4"/>
  <c r="AB73" i="4"/>
  <c r="Z73" i="4"/>
  <c r="AB74" i="4"/>
  <c r="Z74" i="4"/>
  <c r="AB32" i="4"/>
  <c r="Z32" i="4"/>
  <c r="V84" i="4"/>
  <c r="Z84" i="4" s="1"/>
  <c r="V96" i="4"/>
  <c r="Z96" i="4" s="1"/>
  <c r="V108" i="4"/>
  <c r="Z108" i="4" s="1"/>
  <c r="V72" i="4"/>
  <c r="Z72" i="4" s="1"/>
  <c r="P191" i="4"/>
  <c r="Z110" i="4"/>
  <c r="AB110" i="4"/>
  <c r="AB44" i="4"/>
  <c r="Z44" i="4"/>
  <c r="N189" i="4"/>
  <c r="O189" i="4"/>
  <c r="P188" i="4"/>
  <c r="O186" i="4"/>
  <c r="N186" i="4"/>
  <c r="P187" i="4"/>
  <c r="Q141" i="1"/>
  <c r="AA22" i="1" s="1"/>
  <c r="P141" i="1"/>
  <c r="U75" i="1" s="1"/>
  <c r="O142" i="1"/>
  <c r="U34" i="1" s="1"/>
  <c r="P142" i="1"/>
  <c r="U87" i="1" s="1"/>
  <c r="O143" i="1"/>
  <c r="U46" i="1" s="1"/>
  <c r="O141" i="1"/>
  <c r="U22" i="1" s="1"/>
  <c r="G147" i="1"/>
  <c r="G142" i="1"/>
  <c r="N135" i="1"/>
  <c r="G148" i="1"/>
  <c r="I130" i="1"/>
  <c r="I132" i="1" s="1"/>
  <c r="J143" i="1" s="1"/>
  <c r="G144" i="1"/>
  <c r="H129" i="1"/>
  <c r="G143" i="1"/>
  <c r="N134" i="1"/>
  <c r="H134" i="1"/>
  <c r="H138" i="1" s="1"/>
  <c r="H128" i="1"/>
  <c r="E62" i="1"/>
  <c r="O145" i="1" s="1"/>
  <c r="E115" i="1"/>
  <c r="G115" i="1"/>
  <c r="R145" i="1" s="1"/>
  <c r="G62" i="1"/>
  <c r="Q145" i="1" s="1"/>
  <c r="AA62" i="1" s="1"/>
  <c r="AB75" i="4" l="1"/>
  <c r="AB115" i="4" s="1"/>
  <c r="W75" i="4"/>
  <c r="M143" i="4" s="1"/>
  <c r="M145" i="4" s="1"/>
  <c r="W115" i="4" s="1"/>
  <c r="W22" i="4"/>
  <c r="M142" i="4" s="1"/>
  <c r="M144" i="4" s="1"/>
  <c r="W62" i="4" s="1"/>
  <c r="AB22" i="4"/>
  <c r="AB62" i="4" s="1"/>
  <c r="P186" i="4"/>
  <c r="P189" i="4"/>
  <c r="G135" i="1"/>
  <c r="P145" i="1"/>
  <c r="G128" i="1"/>
  <c r="G146" i="1"/>
  <c r="M49" i="1" s="1"/>
  <c r="G141" i="1"/>
  <c r="M48" i="1" s="1"/>
  <c r="N138" i="1"/>
  <c r="K142" i="1" s="1"/>
  <c r="K144" i="1" s="1"/>
  <c r="H132" i="1"/>
  <c r="J142" i="1" s="1"/>
  <c r="J144" i="1" s="1"/>
  <c r="N21" i="1"/>
  <c r="N142" i="1" s="1"/>
  <c r="L21" i="1"/>
  <c r="N141" i="1" s="1"/>
  <c r="E48" i="1"/>
  <c r="E60" i="1"/>
  <c r="E24" i="1"/>
  <c r="E36" i="1"/>
  <c r="E101" i="1"/>
  <c r="E89" i="1"/>
  <c r="E77" i="1"/>
  <c r="E113" i="1"/>
  <c r="X12" i="4" l="1"/>
  <c r="T51" i="4"/>
  <c r="T39" i="4"/>
  <c r="X11" i="4"/>
  <c r="T27" i="4"/>
  <c r="Q187" i="4"/>
  <c r="Q188" i="4"/>
  <c r="Q186" i="4"/>
  <c r="Q191" i="4"/>
  <c r="Q189" i="4"/>
  <c r="Q190" i="4"/>
  <c r="J49" i="1"/>
  <c r="J105" i="1" s="1"/>
  <c r="K152" i="1"/>
  <c r="J48" i="1"/>
  <c r="J104" i="1" s="1"/>
  <c r="J152" i="1"/>
  <c r="O53" i="1"/>
  <c r="K145" i="1"/>
  <c r="O55" i="1" s="1"/>
  <c r="M57" i="1" s="1"/>
  <c r="J145" i="1"/>
  <c r="O54" i="1" s="1"/>
  <c r="M56" i="1" s="1"/>
  <c r="O52" i="1"/>
  <c r="P21" i="1"/>
  <c r="Z11" i="4" l="1"/>
  <c r="Z12" i="4"/>
  <c r="T68" i="4"/>
  <c r="T80" i="4"/>
  <c r="T104" i="4"/>
  <c r="T15" i="4"/>
  <c r="T92" i="4"/>
  <c r="J22" i="1"/>
  <c r="N143" i="1"/>
  <c r="J57" i="1"/>
  <c r="J103" i="1" s="1"/>
  <c r="K153" i="1"/>
  <c r="J56" i="1"/>
  <c r="J102" i="1" s="1"/>
  <c r="J153" i="1"/>
  <c r="M22" i="1"/>
  <c r="O22" i="1"/>
  <c r="O148" i="1" l="1"/>
  <c r="N148" i="1"/>
  <c r="K149" i="1"/>
  <c r="L76" i="1" s="1"/>
  <c r="J149" i="1"/>
  <c r="L75" i="1" s="1"/>
  <c r="N22" i="1"/>
  <c r="J100" i="1" l="1"/>
  <c r="K77" i="1"/>
  <c r="N155" i="1" s="1"/>
  <c r="N156" i="1" l="1"/>
  <c r="L77" i="1"/>
  <c r="M77" i="1"/>
  <c r="J77" i="1"/>
  <c r="G159" i="1" l="1"/>
  <c r="G161" i="1" s="1"/>
  <c r="F159" i="1"/>
  <c r="F161" i="1" s="1"/>
  <c r="L82" i="1" l="1"/>
  <c r="N82" i="1"/>
  <c r="L159" i="1" l="1"/>
  <c r="L161" i="1" s="1"/>
  <c r="L174" i="1"/>
  <c r="L177" i="1"/>
  <c r="L179" i="1"/>
  <c r="L181" i="1" s="1"/>
  <c r="L176" i="1"/>
  <c r="L180" i="1" s="1"/>
  <c r="N157" i="1"/>
  <c r="L158" i="1"/>
  <c r="J117" i="1" s="1"/>
  <c r="J82" i="1"/>
  <c r="I159" i="1"/>
  <c r="M82" i="1"/>
  <c r="L89" i="1"/>
  <c r="F166" i="1" s="1"/>
  <c r="G168" i="1" s="1"/>
  <c r="O95" i="1"/>
  <c r="K183" i="1" s="1"/>
  <c r="L191" i="1" s="1"/>
  <c r="L88" i="1"/>
  <c r="F165" i="1" s="1"/>
  <c r="J164" i="1" s="1"/>
  <c r="O94" i="1"/>
  <c r="J183" i="1" s="1"/>
  <c r="T94" i="1" l="1"/>
  <c r="T82" i="1"/>
  <c r="T106" i="1"/>
  <c r="T17" i="1"/>
  <c r="T29" i="1"/>
  <c r="T70" i="1"/>
  <c r="T53" i="1"/>
  <c r="T41" i="1"/>
  <c r="L190" i="1"/>
  <c r="M190" i="1" s="1"/>
  <c r="L189" i="1"/>
  <c r="M191" i="1"/>
  <c r="L188" i="1"/>
  <c r="M188" i="1" s="1"/>
  <c r="L187" i="1"/>
  <c r="M187" i="1" s="1"/>
  <c r="L186" i="1"/>
  <c r="M160" i="1"/>
  <c r="L160" i="1" s="1"/>
  <c r="L178" i="1"/>
  <c r="J121" i="1" s="1"/>
  <c r="L175" i="1"/>
  <c r="J120" i="1" s="1"/>
  <c r="J115" i="1"/>
  <c r="J165" i="1"/>
  <c r="G167" i="1"/>
  <c r="V21" i="1" l="1"/>
  <c r="V45" i="1"/>
  <c r="V33" i="1"/>
  <c r="V57" i="1"/>
  <c r="V20" i="1"/>
  <c r="V44" i="1"/>
  <c r="V32" i="1"/>
  <c r="V56" i="1"/>
  <c r="V74" i="1"/>
  <c r="V86" i="1"/>
  <c r="V110" i="1"/>
  <c r="V98" i="1"/>
  <c r="V73" i="1"/>
  <c r="V109" i="1"/>
  <c r="V85" i="1"/>
  <c r="V97" i="1"/>
  <c r="M189" i="1"/>
  <c r="N189" i="1" s="1"/>
  <c r="L184" i="1"/>
  <c r="M186" i="1"/>
  <c r="N186" i="1" s="1"/>
  <c r="L183" i="1"/>
  <c r="O191" i="1"/>
  <c r="N191" i="1"/>
  <c r="N190" i="1"/>
  <c r="O190" i="1"/>
  <c r="N187" i="1"/>
  <c r="O187" i="1"/>
  <c r="N188" i="1"/>
  <c r="O188" i="1"/>
  <c r="O186" i="1"/>
  <c r="L170" i="1"/>
  <c r="L163" i="1"/>
  <c r="L167" i="1"/>
  <c r="L169" i="1"/>
  <c r="L164" i="1"/>
  <c r="L162" i="1"/>
  <c r="L166" i="1"/>
  <c r="K170" i="1"/>
  <c r="L171" i="1"/>
  <c r="J93" i="1"/>
  <c r="O189" i="1" l="1"/>
  <c r="P189" i="1" s="1"/>
  <c r="AB85" i="1"/>
  <c r="Z85" i="1"/>
  <c r="Z98" i="1"/>
  <c r="AB98" i="1"/>
  <c r="AB97" i="1"/>
  <c r="Z97" i="1"/>
  <c r="V19" i="1"/>
  <c r="V31" i="1"/>
  <c r="V43" i="1"/>
  <c r="V55" i="1"/>
  <c r="AB110" i="1"/>
  <c r="Z110" i="1"/>
  <c r="AB86" i="1"/>
  <c r="Z86" i="1"/>
  <c r="AB109" i="1"/>
  <c r="Z109" i="1"/>
  <c r="V72" i="1"/>
  <c r="V84" i="1"/>
  <c r="Z84" i="1" s="1"/>
  <c r="V108" i="1"/>
  <c r="Z108" i="1" s="1"/>
  <c r="V96" i="1"/>
  <c r="Z96" i="1" s="1"/>
  <c r="P187" i="1"/>
  <c r="P186" i="1"/>
  <c r="X11" i="1" s="1"/>
  <c r="P191" i="1"/>
  <c r="P190" i="1"/>
  <c r="P188" i="1"/>
  <c r="J118" i="1"/>
  <c r="L172" i="1"/>
  <c r="J119" i="1" s="1"/>
  <c r="M83" i="1"/>
  <c r="Q191" i="1" l="1"/>
  <c r="AB87" i="1"/>
  <c r="W87" i="1"/>
  <c r="Q190" i="1"/>
  <c r="Q189" i="1"/>
  <c r="X12" i="1"/>
  <c r="Q188" i="1"/>
  <c r="T51" i="1"/>
  <c r="Q186" i="1"/>
  <c r="T27" i="1"/>
  <c r="Q187" i="1"/>
  <c r="T39" i="1"/>
  <c r="T92" i="1" l="1"/>
  <c r="Z12" i="1"/>
  <c r="T104" i="1"/>
  <c r="T80" i="1"/>
  <c r="T15" i="1"/>
  <c r="T68" i="1"/>
  <c r="Z43" i="1"/>
  <c r="Z31" i="1"/>
  <c r="Z55" i="1"/>
  <c r="Z19" i="1"/>
  <c r="AB20" i="1"/>
  <c r="Z11" i="1"/>
  <c r="Z21" i="1"/>
  <c r="Z73" i="1"/>
  <c r="Z72" i="1"/>
  <c r="AB56" i="1" l="1"/>
  <c r="Z56" i="1"/>
  <c r="AB32" i="1"/>
  <c r="Z32" i="1"/>
  <c r="AB33" i="1"/>
  <c r="Z33" i="1"/>
  <c r="AB21" i="1"/>
  <c r="AB22" i="1" s="1"/>
  <c r="Z20" i="1"/>
  <c r="W22" i="1" s="1"/>
  <c r="AB57" i="1"/>
  <c r="Z57" i="1"/>
  <c r="AB44" i="1"/>
  <c r="Z44" i="1"/>
  <c r="AB45" i="1"/>
  <c r="Z45" i="1"/>
  <c r="Z74" i="1"/>
  <c r="W75" i="1" s="1"/>
  <c r="M143" i="1" s="1"/>
  <c r="M145" i="1" s="1"/>
  <c r="W115" i="1" s="1"/>
  <c r="AB74" i="1"/>
  <c r="AB73" i="1"/>
  <c r="AB46" i="1" l="1"/>
  <c r="AB75" i="1"/>
  <c r="AB115" i="1" s="1"/>
  <c r="W46" i="1"/>
  <c r="AB34" i="1"/>
  <c r="AB62" i="1" s="1"/>
  <c r="W34" i="1"/>
  <c r="M142" i="1" s="1"/>
  <c r="M144" i="1" s="1"/>
  <c r="W62" i="1" s="1"/>
</calcChain>
</file>

<file path=xl/sharedStrings.xml><?xml version="1.0" encoding="utf-8"?>
<sst xmlns="http://schemas.openxmlformats.org/spreadsheetml/2006/main" count="1590" uniqueCount="382">
  <si>
    <t>Conçu pour être copiable / collable directement sur le forum</t>
  </si>
  <si>
    <t>/!\ Les troupes d'une même Seigneurie sont toujours à fusionner.</t>
  </si>
  <si>
    <t>Maximum 4 Seigneuries dans un même camp lors d'une bataille.</t>
  </si>
  <si>
    <t>Calculateur de bataille - PU</t>
  </si>
  <si>
    <t>Front de</t>
  </si>
  <si>
    <t>Nom de l'armée</t>
  </si>
  <si>
    <t xml:space="preserve">• </t>
  </si>
  <si>
    <t>Total :</t>
  </si>
  <si>
    <t>Ratio de PU de base :</t>
  </si>
  <si>
    <t>+</t>
  </si>
  <si>
    <t>Fantassins</t>
  </si>
  <si>
    <t>Cavaliers</t>
  </si>
  <si>
    <t>Unités de Siège</t>
  </si>
  <si>
    <t>(</t>
  </si>
  <si>
    <t>PU)</t>
  </si>
  <si>
    <t>PU) (=</t>
  </si>
  <si>
    <t>PU en Siège)</t>
  </si>
  <si>
    <t>PU (=</t>
  </si>
  <si>
    <t>VS</t>
  </si>
  <si>
    <t>Grand Total des PU :</t>
  </si>
  <si>
    <t>Camp de</t>
  </si>
  <si>
    <t>Indiquez la présence de vos Seigneurs ici</t>
  </si>
  <si>
    <t>%</t>
  </si>
  <si>
    <t>* Indiquez votre Seigneurie *</t>
  </si>
  <si>
    <t>d'Anvil</t>
  </si>
  <si>
    <t>d'Arenthia</t>
  </si>
  <si>
    <t>de Bravil</t>
  </si>
  <si>
    <t>de Bruma</t>
  </si>
  <si>
    <t>de Cheydinhal</t>
  </si>
  <si>
    <t>de Chorrol</t>
  </si>
  <si>
    <t>de la Cité Impériale</t>
  </si>
  <si>
    <t>d'Elinhir</t>
  </si>
  <si>
    <t>d'Épervine</t>
  </si>
  <si>
    <t>de Faillaise</t>
  </si>
  <si>
    <t>de Falinesti</t>
  </si>
  <si>
    <t>de Fort-de-Rive</t>
  </si>
  <si>
    <t>de Fort-Tempête</t>
  </si>
  <si>
    <t>de Gideon</t>
  </si>
  <si>
    <t>de Kragenmoor</t>
  </si>
  <si>
    <t>de Kvatch</t>
  </si>
  <si>
    <t>de Leyawiin</t>
  </si>
  <si>
    <t>de Narsis</t>
  </si>
  <si>
    <t>de Rihad</t>
  </si>
  <si>
    <t>de Rimmen</t>
  </si>
  <si>
    <t>de Skingrad</t>
  </si>
  <si>
    <t>Plaine</t>
  </si>
  <si>
    <t>Siège</t>
  </si>
  <si>
    <t>Mer</t>
  </si>
  <si>
    <t xml:space="preserve"> :</t>
  </si>
  <si>
    <t xml:space="preserve">Vassal </t>
  </si>
  <si>
    <t xml:space="preserve">Seigneur </t>
  </si>
  <si>
    <t xml:space="preserve">Roi </t>
  </si>
  <si>
    <t xml:space="preserve">Comte </t>
  </si>
  <si>
    <t xml:space="preserve">Duc </t>
  </si>
  <si>
    <t xml:space="preserve">Jarl </t>
  </si>
  <si>
    <t xml:space="preserve">Eldar </t>
  </si>
  <si>
    <t xml:space="preserve">Adhni </t>
  </si>
  <si>
    <t xml:space="preserve">Dynaste </t>
  </si>
  <si>
    <t>Prince</t>
  </si>
  <si>
    <t>Malus de Moral</t>
  </si>
  <si>
    <t>Calcul pourcentages</t>
  </si>
  <si>
    <t xml:space="preserve">Troupes </t>
  </si>
  <si>
    <t>Cyrodiil</t>
  </si>
  <si>
    <t>Bordeciel</t>
  </si>
  <si>
    <t>Elsweyr</t>
  </si>
  <si>
    <t>Lenclume</t>
  </si>
  <si>
    <t>Marais Noir</t>
  </si>
  <si>
    <t>Morrowind</t>
  </si>
  <si>
    <t>Val-Boisé</t>
  </si>
  <si>
    <t>Baron</t>
  </si>
  <si>
    <t>Cette partie de l'Excel sert aux Tests. Ne pas y toucher !</t>
  </si>
  <si>
    <t>Somme</t>
  </si>
  <si>
    <t>Total PU</t>
  </si>
  <si>
    <t>Test 1 : Listes</t>
  </si>
  <si>
    <t>Renseignez soigneuseuement les informations demandées.</t>
  </si>
  <si>
    <t>Section 2 : Détermination des bonus</t>
  </si>
  <si>
    <t xml:space="preserve">Section 1 : État des armées au début du round ou après départ des fuyards </t>
  </si>
  <si>
    <t>Cité Impériale</t>
  </si>
  <si>
    <t>Falinesti</t>
  </si>
  <si>
    <t>Anvil</t>
  </si>
  <si>
    <t>Arenthia</t>
  </si>
  <si>
    <t>Bravil</t>
  </si>
  <si>
    <t>Bruma</t>
  </si>
  <si>
    <t>Cheydinhal</t>
  </si>
  <si>
    <t>Chorrol</t>
  </si>
  <si>
    <t>Elinhir</t>
  </si>
  <si>
    <t>Épervine</t>
  </si>
  <si>
    <t>Faillaise</t>
  </si>
  <si>
    <t>Fort-de-Rive</t>
  </si>
  <si>
    <t>Fort-Tempête</t>
  </si>
  <si>
    <t>Gideon</t>
  </si>
  <si>
    <t>Kragenmoor</t>
  </si>
  <si>
    <t>Kvatch</t>
  </si>
  <si>
    <t>Leyawiin</t>
  </si>
  <si>
    <t>Narsis</t>
  </si>
  <si>
    <t>Rihad</t>
  </si>
  <si>
    <t>Rimmen</t>
  </si>
  <si>
    <t>Skingrad</t>
  </si>
  <si>
    <t>Alabaster</t>
  </si>
  <si>
    <t>Aleswell</t>
  </si>
  <si>
    <t>Alten Corimont</t>
  </si>
  <si>
    <t>Andrethis</t>
  </si>
  <si>
    <t>Austèrebourg</t>
  </si>
  <si>
    <t>Belkarth</t>
  </si>
  <si>
    <t>Bois de Wulkwasten</t>
  </si>
  <si>
    <t>Bord de l'Eau</t>
  </si>
  <si>
    <t>Chemin du Roi</t>
  </si>
  <si>
    <t>Chênebourg</t>
  </si>
  <si>
    <t>Cori Silmoor</t>
  </si>
  <si>
    <t>Coupeterre</t>
  </si>
  <si>
    <t>Croix de Brina</t>
  </si>
  <si>
    <t>Cropsford</t>
  </si>
  <si>
    <t>Ebon Ro</t>
  </si>
  <si>
    <t>Faregyl</t>
  </si>
  <si>
    <t>Ferme de Shetcombe</t>
  </si>
  <si>
    <t>Fort Seaplace</t>
  </si>
  <si>
    <t>Fort Thornar</t>
  </si>
  <si>
    <t>Fort-Ivar</t>
  </si>
  <si>
    <t>Gardepomme</t>
  </si>
  <si>
    <t>Garderose</t>
  </si>
  <si>
    <t>Gottshaw</t>
  </si>
  <si>
    <t>Hame</t>
  </si>
  <si>
    <t>Helgen</t>
  </si>
  <si>
    <t>Marche de Blanken</t>
  </si>
  <si>
    <t>Meir Lynmount</t>
  </si>
  <si>
    <t>Mur de Tenmar</t>
  </si>
  <si>
    <t>Norhall</t>
  </si>
  <si>
    <t>Perte-Roche</t>
  </si>
  <si>
    <t>Pierre-de-Shor</t>
  </si>
  <si>
    <t>Pongorge</t>
  </si>
  <si>
    <t>Porte de Pell</t>
  </si>
  <si>
    <t>Prieuré des Neuf</t>
  </si>
  <si>
    <t>Rivepont</t>
  </si>
  <si>
    <t>Roctesson</t>
  </si>
  <si>
    <t>Sancre Tor</t>
  </si>
  <si>
    <t>Sutch</t>
  </si>
  <si>
    <t>Tour de Brumaille</t>
  </si>
  <si>
    <t>Vallé de Karththor</t>
  </si>
  <si>
    <t>Vulkneu</t>
  </si>
  <si>
    <t>Weye</t>
  </si>
  <si>
    <t>Bois Tadorn</t>
  </si>
  <si>
    <t>Bosquet Rocheux</t>
  </si>
  <si>
    <t>Cap de Treva</t>
  </si>
  <si>
    <t>Chasse-Crique</t>
  </si>
  <si>
    <t>Chutepierre</t>
  </si>
  <si>
    <t>Darkarn</t>
  </si>
  <si>
    <t>Deshaan</t>
  </si>
  <si>
    <t>Domaine de Drad</t>
  </si>
  <si>
    <t>Domaine de Rugdumph</t>
  </si>
  <si>
    <t>Drakelowe</t>
  </si>
  <si>
    <t>Ferme de Murdiska</t>
  </si>
  <si>
    <t>Ferme d'Odiil</t>
  </si>
  <si>
    <t>Fort de Casscorne</t>
  </si>
  <si>
    <t>Fort Heimlyn</t>
  </si>
  <si>
    <t>Fort Horunn</t>
  </si>
  <si>
    <t>Fort Magia</t>
  </si>
  <si>
    <t>Fort Maindebois</t>
  </si>
  <si>
    <t>Fort Nomore</t>
  </si>
  <si>
    <t>Fort Ontus</t>
  </si>
  <si>
    <t>Fort Sangbleu</t>
  </si>
  <si>
    <t>Fort-Eaurouge</t>
  </si>
  <si>
    <t>Gardechasse</t>
  </si>
  <si>
    <t>Gardepins</t>
  </si>
  <si>
    <t>Garde-Roche</t>
  </si>
  <si>
    <t>Gardevallée</t>
  </si>
  <si>
    <t>Glenpoint</t>
  </si>
  <si>
    <t>Lande de Nimbel</t>
  </si>
  <si>
    <t>Nenalata</t>
  </si>
  <si>
    <t>Niryastare</t>
  </si>
  <si>
    <t>Oira Norno</t>
  </si>
  <si>
    <t>Passe de Sombreflot</t>
  </si>
  <si>
    <t>Pierlande</t>
  </si>
  <si>
    <t>Piervallée</t>
  </si>
  <si>
    <t>Pointeroche</t>
  </si>
  <si>
    <t>Silorn</t>
  </si>
  <si>
    <t>Temple du Maître des Nuages</t>
  </si>
  <si>
    <t>Tombepierre</t>
  </si>
  <si>
    <t>Tour de Silgrad</t>
  </si>
  <si>
    <t>Varondo</t>
  </si>
  <si>
    <t>Vilverin</t>
  </si>
  <si>
    <t>Province où a lieu le combat :</t>
  </si>
  <si>
    <t>* Indiquez le lieu du combat *</t>
  </si>
  <si>
    <t>* Rang PJ *</t>
  </si>
  <si>
    <t>Sultan</t>
  </si>
  <si>
    <t>Les Renards du Nord</t>
  </si>
  <si>
    <t>Ayana</t>
  </si>
  <si>
    <t>Camp</t>
  </si>
  <si>
    <t>Les Blessures de l'Usurpateur</t>
  </si>
  <si>
    <t>1ère Armée d'Auto-Défense</t>
  </si>
  <si>
    <t>* Renseignez la province *</t>
  </si>
  <si>
    <t>Terrain neutre</t>
  </si>
  <si>
    <t>* Définir Fortifications *</t>
  </si>
  <si>
    <t>Capitale</t>
  </si>
  <si>
    <t>Ville majeure</t>
  </si>
  <si>
    <t>Ville mineure</t>
  </si>
  <si>
    <t>Bourg</t>
  </si>
  <si>
    <t>Avant-Poste</t>
  </si>
  <si>
    <t xml:space="preserve"> </t>
  </si>
  <si>
    <t>Plaine rase</t>
  </si>
  <si>
    <t>Haute-Mer</t>
  </si>
  <si>
    <t>Indiquez le type de fortifications :</t>
  </si>
  <si>
    <t>Si à cheval sur une frontière nationale,</t>
  </si>
  <si>
    <t>indiquez la seconde province :</t>
  </si>
  <si>
    <t>Indiquez la santé des fortifications :</t>
  </si>
  <si>
    <t>Les Égorgeurs</t>
  </si>
  <si>
    <t>Harod</t>
  </si>
  <si>
    <t>Klothar</t>
  </si>
  <si>
    <t>Marius</t>
  </si>
  <si>
    <t>Undolimin</t>
  </si>
  <si>
    <t>PV</t>
  </si>
  <si>
    <t>PV Murs ?</t>
  </si>
  <si>
    <t>Si Siège, il y a-t-il un Palais ?</t>
  </si>
  <si>
    <t>Mettre les Assaillants en premier, et les Défenseurs en second.</t>
  </si>
  <si>
    <t>Test de conformité :</t>
  </si>
  <si>
    <t>/</t>
  </si>
  <si>
    <t>Ratio de PU :</t>
  </si>
  <si>
    <t>=</t>
  </si>
  <si>
    <t>La partie à copier-coller sur le forum est un peu plus bas.</t>
  </si>
  <si>
    <t>Détermination des bonus :</t>
  </si>
  <si>
    <t>Bonus RP :</t>
  </si>
  <si>
    <t>Pour le Camp de</t>
  </si>
  <si>
    <t>, indiquez les notes de :</t>
  </si>
  <si>
    <t>Retard</t>
  </si>
  <si>
    <t>Bonus Tactique :</t>
  </si>
  <si>
    <t>Malus Retard :</t>
  </si>
  <si>
    <t>Notes</t>
  </si>
  <si>
    <t>Réso Auto</t>
  </si>
  <si>
    <t>Bonus de Ratio :</t>
  </si>
  <si>
    <t>Note Totale :</t>
  </si>
  <si>
    <t>Oui</t>
  </si>
  <si>
    <t>Bonus de Murs :</t>
  </si>
  <si>
    <t>Test 2 :</t>
  </si>
  <si>
    <t>Test PU à domicile</t>
  </si>
  <si>
    <t>Bonus Palais :            +</t>
  </si>
  <si>
    <t>Test 3 :</t>
  </si>
  <si>
    <t>Malus état des Murs :</t>
  </si>
  <si>
    <t>Bonus de Charisme :</t>
  </si>
  <si>
    <t>pour le Camp de</t>
  </si>
  <si>
    <t>Charisme</t>
  </si>
  <si>
    <t>Div 1</t>
  </si>
  <si>
    <t>Div 2</t>
  </si>
  <si>
    <t>Div 3</t>
  </si>
  <si>
    <t>Div 4</t>
  </si>
  <si>
    <t>Camp 1</t>
  </si>
  <si>
    <t>Camp 2</t>
  </si>
  <si>
    <t>Bonus Combat à Domicile :</t>
  </si>
  <si>
    <t>:</t>
  </si>
  <si>
    <t>Test 4 :</t>
  </si>
  <si>
    <t>Somme PU originaire de chaque province</t>
  </si>
  <si>
    <t>Ratio :</t>
  </si>
  <si>
    <t>PU autochtones chez</t>
  </si>
  <si>
    <t>Pourcentage d'autochtones chez</t>
  </si>
  <si>
    <t>PU</t>
  </si>
  <si>
    <t>Moral des armées du Camp de</t>
  </si>
  <si>
    <t>* Définir Moral *</t>
  </si>
  <si>
    <t>OK</t>
  </si>
  <si>
    <t>Entamé</t>
  </si>
  <si>
    <t>Faible</t>
  </si>
  <si>
    <t>Très Faible</t>
  </si>
  <si>
    <t>Démoralisé</t>
  </si>
  <si>
    <t>Score de Stratégie :</t>
  </si>
  <si>
    <t>Niveau retenu pour le camp de</t>
  </si>
  <si>
    <t>* Définir Niveau *</t>
  </si>
  <si>
    <t>Test 5 : XP</t>
  </si>
  <si>
    <t>Si D2 lancé, valeur égale à 2 ?</t>
  </si>
  <si>
    <t>Bonus</t>
  </si>
  <si>
    <t>Test 6 :</t>
  </si>
  <si>
    <t>Test des scores finaux</t>
  </si>
  <si>
    <t>RP :</t>
  </si>
  <si>
    <t>Murs :</t>
  </si>
  <si>
    <t>Charisme :</t>
  </si>
  <si>
    <t>Domicile :</t>
  </si>
  <si>
    <t>Moral :</t>
  </si>
  <si>
    <t>Stratégie :</t>
  </si>
  <si>
    <t>Action :</t>
  </si>
  <si>
    <t>pour</t>
  </si>
  <si>
    <t>Cumul des points :    +</t>
  </si>
  <si>
    <t>Marge du Camp de</t>
  </si>
  <si>
    <t>Valeur 2D6 ?</t>
  </si>
  <si>
    <t>Test 7 :</t>
  </si>
  <si>
    <t>Score marge</t>
  </si>
  <si>
    <t>Cumul :</t>
  </si>
  <si>
    <t>Dés :</t>
  </si>
  <si>
    <t>Score final :</t>
  </si>
  <si>
    <t>Détermination des pertes :</t>
  </si>
  <si>
    <t>Lancer 2 D6 pour la Marge de chaque camp !</t>
  </si>
  <si>
    <t>Lancer</t>
  </si>
  <si>
    <t>Valeur du jet pour le Camp de</t>
  </si>
  <si>
    <t>Valeur 1D6 ?</t>
  </si>
  <si>
    <t>Valeur 1D3 ?</t>
  </si>
  <si>
    <t>Valeur 4D6 ?</t>
  </si>
  <si>
    <t>Valeur 6D6 ?</t>
  </si>
  <si>
    <t>Valeur 8D6 ?</t>
  </si>
  <si>
    <t>Valeur 10D6 ?</t>
  </si>
  <si>
    <t>Valeur 12D6 ?</t>
  </si>
  <si>
    <t>Valeur Aucun dé</t>
  </si>
  <si>
    <t>Test 8 :</t>
  </si>
  <si>
    <t>Listes de dés</t>
  </si>
  <si>
    <t>Camp 1 :</t>
  </si>
  <si>
    <t>Camp 2 :</t>
  </si>
  <si>
    <t>Conformité 1 :</t>
  </si>
  <si>
    <t>Conformité 4 :</t>
  </si>
  <si>
    <t>Conformité 5 :</t>
  </si>
  <si>
    <t>Conformité 2 :</t>
  </si>
  <si>
    <t>Conformité 3 :</t>
  </si>
  <si>
    <t>Total des pertes du Camp de</t>
  </si>
  <si>
    <t>Calcul des bonus/malus :</t>
  </si>
  <si>
    <t>Je passe aux lancés de dés pour déterminer la marge.</t>
  </si>
  <si>
    <t>Différence</t>
  </si>
  <si>
    <t>Conformité globale :</t>
  </si>
  <si>
    <t>Test 9 :</t>
  </si>
  <si>
    <t>Test 10 :</t>
  </si>
  <si>
    <t>Non</t>
  </si>
  <si>
    <t>Test 11 :</t>
  </si>
  <si>
    <t>Bilan bataille</t>
  </si>
  <si>
    <t>+ et égalités pour concaténer</t>
  </si>
  <si>
    <t>Niv victoire :</t>
  </si>
  <si>
    <t>Dégâts murs :</t>
  </si>
  <si>
    <t>Dégâts lieu :</t>
  </si>
  <si>
    <t>Dégâts sur les fortifications :</t>
  </si>
  <si>
    <t>Si Siège, indiquez le nom de la ville assiégée :</t>
  </si>
  <si>
    <t>Lieu Siège :</t>
  </si>
  <si>
    <t>* Capitales *</t>
  </si>
  <si>
    <t>* Villes Majeures *</t>
  </si>
  <si>
    <t>* Villes Mineures *</t>
  </si>
  <si>
    <t>* Bourgs *</t>
  </si>
  <si>
    <t>Sanctuaire de la Phalène Ancestrale</t>
  </si>
  <si>
    <t>Fin lieu</t>
  </si>
  <si>
    <t>Dégâts murs</t>
  </si>
  <si>
    <t>*** Fin de la partie à copier-coller ***</t>
  </si>
  <si>
    <t>Malus murs</t>
  </si>
  <si>
    <t>Test perte mur</t>
  </si>
  <si>
    <t>Test moral</t>
  </si>
  <si>
    <t>*** Cadre à copier-coller sur le forum (puis supprimez les lignes "•" ou "=&gt;" vides) ***</t>
  </si>
  <si>
    <t>Primat</t>
  </si>
  <si>
    <t>Reine</t>
  </si>
  <si>
    <t>Section 3 : Calcul des pertes</t>
  </si>
  <si>
    <t>Test Ouch^^</t>
  </si>
  <si>
    <t>=&gt;</t>
  </si>
  <si>
    <t>Valeur PU en texte</t>
  </si>
  <si>
    <t>(=</t>
  </si>
  <si>
    <t>Sinon, laisser vide pour un remplissage automatique (Valeur des cases O94 et O95)</t>
  </si>
  <si>
    <r>
      <t>Pour renseigner manuellement les pertes</t>
    </r>
    <r>
      <rPr>
        <sz val="11"/>
        <color rgb="FFFF0000"/>
        <rFont val="Georgia"/>
        <family val="1"/>
      </rPr>
      <t>*</t>
    </r>
    <r>
      <rPr>
        <sz val="11"/>
        <color theme="1"/>
        <rFont val="Georgia"/>
        <family val="1"/>
      </rPr>
      <t>, remplissez les cases suivantes :</t>
    </r>
  </si>
  <si>
    <t>Normal</t>
  </si>
  <si>
    <t>Retraite - Cas #1 ou poursuivants</t>
  </si>
  <si>
    <t>Cette section est autonome des paramètres remplis en Section 2</t>
  </si>
  <si>
    <t>% de pertes</t>
  </si>
  <si>
    <r>
      <rPr>
        <i/>
        <sz val="8"/>
        <color rgb="FFFF0000"/>
        <rFont val="Georgia"/>
        <family val="1"/>
      </rPr>
      <t>*</t>
    </r>
    <r>
      <rPr>
        <i/>
        <sz val="8"/>
        <color theme="1"/>
        <rFont val="Georgia"/>
        <family val="1"/>
      </rPr>
      <t xml:space="preserve"> Indiquez les pertes de base. La modification de retraite sera appliquée si l'option est sélectionnée.</t>
    </r>
  </si>
  <si>
    <t>Pertes</t>
  </si>
  <si>
    <t>Mode pertes du Camp 1 :</t>
  </si>
  <si>
    <t>Mode pertes du Camp 2 :</t>
  </si>
  <si>
    <t>Calcul pertes</t>
  </si>
  <si>
    <t>Retraite - Cas #2 sur terre ferme</t>
  </si>
  <si>
    <t>Retraite - Cas #3 sur terre ferme</t>
  </si>
  <si>
    <t>Retraite - Cas #4 sur terre ferme</t>
  </si>
  <si>
    <t>Retraite - Cas #2 sur mer</t>
  </si>
  <si>
    <t>Retraite - Cas #3 sur mer</t>
  </si>
  <si>
    <t>Retraite - Cas #4 sur mer</t>
  </si>
  <si>
    <t>Mode de combat du Camp 1 :</t>
  </si>
  <si>
    <t>Retraite :</t>
  </si>
  <si>
    <t>Mode Poursuite</t>
  </si>
  <si>
    <t>Mode Fuite</t>
  </si>
  <si>
    <t>et poursuivants si Retraite (gestion des phases de Retraite en WIP)</t>
  </si>
  <si>
    <t>*** Partie à copier-coller sur le forum (ignorer les armées vides de chaque Camp) ***</t>
  </si>
  <si>
    <t>Marius Valga</t>
  </si>
  <si>
    <t>Armée Écarlate</t>
  </si>
  <si>
    <t>Les Armures du Désert</t>
  </si>
  <si>
    <t>Hasell</t>
  </si>
  <si>
    <t>Pertes INF camp 1</t>
  </si>
  <si>
    <t>Pertes CA camp 1</t>
  </si>
  <si>
    <t>Pertes ES camp 1</t>
  </si>
  <si>
    <t>Pertes INF camp 2</t>
  </si>
  <si>
    <t>Pertes ES camp 2</t>
  </si>
  <si>
    <t>Ajust. 100</t>
  </si>
  <si>
    <t>Texte</t>
  </si>
  <si>
    <t>Arrondi sup</t>
  </si>
  <si>
    <t>Arrondi inf</t>
  </si>
  <si>
    <r>
      <t>et poursuivants si Retraite</t>
    </r>
    <r>
      <rPr>
        <sz val="11"/>
        <rFont val="Georgia"/>
        <family val="1"/>
      </rPr>
      <t xml:space="preserve"> (gère les phases de Retraite totale)</t>
    </r>
  </si>
  <si>
    <t>Note : pour calculer une Retraite partielle, mettre dans un premier temps toutes les troupes</t>
  </si>
  <si>
    <t>combattantes des 2 camps, puis postez la listes des bonus (à droite) et reportez les pertes de base</t>
  </si>
  <si>
    <t>en manuel dans la section 3. Ensuite, ne mettre que les troupes fuyardes - donc qui subissent</t>
  </si>
  <si>
    <t>des dégâts - en Section 1 pour finalement poster les pertes énoncées en section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</si>
</sst>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1"/>
      <color theme="1"/>
      <name val="Georgia"/>
      <family val="1"/>
    </font>
    <font>
      <i/>
      <sz val="11"/>
      <color theme="1"/>
      <name val="Georgia"/>
      <family val="1"/>
    </font>
    <font>
      <sz val="11"/>
      <color theme="1"/>
      <name val="Georgia"/>
      <family val="1"/>
    </font>
    <font>
      <sz val="11"/>
      <color rgb="FFC00000"/>
      <name val="Georgia"/>
      <family val="1"/>
    </font>
    <font>
      <b/>
      <i/>
      <sz val="11"/>
      <color theme="1"/>
      <name val="Georgia"/>
      <family val="1"/>
    </font>
    <font>
      <sz val="11"/>
      <color rgb="FF000099"/>
      <name val="Georgia"/>
      <family val="1"/>
    </font>
    <font>
      <sz val="11"/>
      <color rgb="FF800000"/>
      <name val="Georgia"/>
      <family val="1"/>
    </font>
    <font>
      <sz val="11"/>
      <color rgb="FF800080"/>
      <name val="Georgia"/>
      <family val="1"/>
    </font>
    <font>
      <sz val="5"/>
      <color theme="1"/>
      <name val="Georgia"/>
      <family val="1"/>
    </font>
    <font>
      <sz val="6"/>
      <color theme="1"/>
      <name val="Georgia"/>
      <family val="1"/>
    </font>
    <font>
      <sz val="9"/>
      <color theme="1"/>
      <name val="Georgia"/>
      <family val="1"/>
    </font>
    <font>
      <b/>
      <sz val="11"/>
      <color rgb="FF0070C0"/>
      <name val="Georgia"/>
      <family val="1"/>
    </font>
    <font>
      <sz val="10"/>
      <color theme="1"/>
      <name val="Georgia"/>
      <family val="1"/>
    </font>
    <font>
      <sz val="7"/>
      <color theme="1"/>
      <name val="Georgia"/>
      <family val="1"/>
    </font>
    <font>
      <sz val="11"/>
      <name val="Georgia"/>
      <family val="1"/>
    </font>
    <font>
      <b/>
      <i/>
      <sz val="11"/>
      <color rgb="FFC00000"/>
      <name val="Georgia"/>
      <family val="1"/>
    </font>
    <font>
      <b/>
      <u/>
      <sz val="11"/>
      <color theme="9" tint="-0.249977111117893"/>
      <name val="Georgia"/>
      <family val="1"/>
    </font>
    <font>
      <b/>
      <i/>
      <sz val="11"/>
      <color rgb="FF993300"/>
      <name val="Georgia"/>
      <family val="1"/>
    </font>
    <font>
      <sz val="11"/>
      <color rgb="FF003366"/>
      <name val="Georgia"/>
      <family val="1"/>
    </font>
    <font>
      <i/>
      <sz val="11"/>
      <color rgb="FF0070C0"/>
      <name val="Georgia"/>
      <family val="1"/>
    </font>
    <font>
      <b/>
      <sz val="11"/>
      <color rgb="FF003366"/>
      <name val="Georgia"/>
      <family val="1"/>
    </font>
    <font>
      <sz val="11"/>
      <color theme="1"/>
      <name val="Calibri"/>
      <family val="2"/>
      <scheme val="minor"/>
    </font>
    <font>
      <sz val="11"/>
      <color rgb="FFFF0000"/>
      <name val="Georgia"/>
      <family val="1"/>
    </font>
    <font>
      <i/>
      <sz val="8"/>
      <color theme="1"/>
      <name val="Georgia"/>
      <family val="1"/>
    </font>
    <font>
      <i/>
      <sz val="8"/>
      <color rgb="FFFF0000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5"/>
      </patternFill>
    </fill>
  </fills>
  <borders count="8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2" fillId="5" borderId="0" applyNumberFormat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3" xfId="0" applyFont="1" applyBorder="1"/>
    <xf numFmtId="2" fontId="1" fillId="0" borderId="0" xfId="0" applyNumberFormat="1" applyFont="1"/>
    <xf numFmtId="0" fontId="3" fillId="0" borderId="4" xfId="0" applyFont="1" applyBorder="1"/>
    <xf numFmtId="2" fontId="1" fillId="0" borderId="4" xfId="0" applyNumberFormat="1" applyFont="1" applyBorder="1"/>
    <xf numFmtId="0" fontId="1" fillId="0" borderId="4" xfId="0" applyFont="1" applyBorder="1"/>
    <xf numFmtId="0" fontId="3" fillId="2" borderId="0" xfId="0" applyFont="1" applyFill="1"/>
    <xf numFmtId="3" fontId="3" fillId="2" borderId="0" xfId="0" applyNumberFormat="1" applyFont="1" applyFill="1"/>
    <xf numFmtId="3" fontId="3" fillId="3" borderId="0" xfId="0" applyNumberFormat="1" applyFont="1" applyFill="1"/>
    <xf numFmtId="3" fontId="1" fillId="3" borderId="0" xfId="0" applyNumberFormat="1" applyFont="1" applyFill="1"/>
    <xf numFmtId="3" fontId="3" fillId="0" borderId="0" xfId="0" applyNumberFormat="1" applyFont="1"/>
    <xf numFmtId="0" fontId="3" fillId="0" borderId="2" xfId="0" applyFont="1" applyBorder="1"/>
    <xf numFmtId="0" fontId="1" fillId="0" borderId="2" xfId="0" applyFont="1" applyBorder="1"/>
    <xf numFmtId="0" fontId="3" fillId="4" borderId="0" xfId="0" applyFont="1" applyFill="1"/>
    <xf numFmtId="0" fontId="1" fillId="4" borderId="0" xfId="0" applyFont="1" applyFill="1"/>
    <xf numFmtId="0" fontId="3" fillId="4" borderId="0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3" borderId="0" xfId="0" applyFont="1" applyFill="1"/>
    <xf numFmtId="0" fontId="3" fillId="0" borderId="0" xfId="0" applyFont="1" applyBorder="1"/>
    <xf numFmtId="0" fontId="1" fillId="2" borderId="0" xfId="0" applyFont="1" applyFill="1"/>
    <xf numFmtId="2" fontId="3" fillId="3" borderId="0" xfId="0" applyNumberFormat="1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49" fontId="3" fillId="0" borderId="0" xfId="0" applyNumberFormat="1" applyFont="1"/>
    <xf numFmtId="0" fontId="12" fillId="0" borderId="0" xfId="0" applyFont="1"/>
    <xf numFmtId="0" fontId="3" fillId="0" borderId="0" xfId="0" applyFont="1" applyFill="1"/>
    <xf numFmtId="0" fontId="13" fillId="0" borderId="0" xfId="0" applyFont="1"/>
    <xf numFmtId="0" fontId="3" fillId="0" borderId="0" xfId="0" applyFont="1" applyAlignment="1">
      <alignment horizontal="right"/>
    </xf>
    <xf numFmtId="4" fontId="1" fillId="3" borderId="0" xfId="0" applyNumberFormat="1" applyFont="1" applyFill="1"/>
    <xf numFmtId="0" fontId="14" fillId="0" borderId="0" xfId="0" applyFont="1"/>
    <xf numFmtId="1" fontId="3" fillId="0" borderId="0" xfId="0" applyNumberFormat="1" applyFont="1"/>
    <xf numFmtId="0" fontId="16" fillId="0" borderId="0" xfId="0" applyFont="1"/>
    <xf numFmtId="0" fontId="4" fillId="3" borderId="0" xfId="0" applyFont="1" applyFill="1"/>
    <xf numFmtId="0" fontId="17" fillId="0" borderId="0" xfId="0" applyFont="1"/>
    <xf numFmtId="0" fontId="15" fillId="3" borderId="0" xfId="0" applyFont="1" applyFill="1"/>
    <xf numFmtId="0" fontId="1" fillId="0" borderId="0" xfId="0" applyFont="1" applyAlignment="1">
      <alignment horizontal="right"/>
    </xf>
    <xf numFmtId="0" fontId="3" fillId="3" borderId="0" xfId="0" applyFont="1" applyFill="1" applyAlignment="1">
      <alignment horizontal="left"/>
    </xf>
    <xf numFmtId="0" fontId="2" fillId="0" borderId="3" xfId="0" applyFont="1" applyBorder="1"/>
    <xf numFmtId="0" fontId="3" fillId="2" borderId="0" xfId="0" applyFont="1" applyFill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5" xfId="0" applyFont="1" applyBorder="1"/>
    <xf numFmtId="0" fontId="3" fillId="0" borderId="5" xfId="0" applyFont="1" applyBorder="1"/>
    <xf numFmtId="0" fontId="3" fillId="0" borderId="6" xfId="0" applyFont="1" applyBorder="1"/>
    <xf numFmtId="0" fontId="20" fillId="0" borderId="6" xfId="0" applyFont="1" applyBorder="1"/>
    <xf numFmtId="0" fontId="3" fillId="0" borderId="0" xfId="0" quotePrefix="1" applyFont="1"/>
    <xf numFmtId="0" fontId="21" fillId="0" borderId="0" xfId="0" applyFont="1"/>
    <xf numFmtId="0" fontId="3" fillId="2" borderId="0" xfId="0" applyFont="1" applyFill="1" applyAlignment="1">
      <alignment horizontal="center"/>
    </xf>
    <xf numFmtId="0" fontId="5" fillId="0" borderId="0" xfId="0" applyFont="1"/>
    <xf numFmtId="0" fontId="3" fillId="0" borderId="0" xfId="0" applyNumberFormat="1" applyFont="1" applyAlignment="1">
      <alignment horizontal="right"/>
    </xf>
    <xf numFmtId="0" fontId="12" fillId="0" borderId="1" xfId="0" applyFont="1" applyBorder="1"/>
    <xf numFmtId="0" fontId="24" fillId="0" borderId="0" xfId="0" applyFont="1" applyBorder="1"/>
    <xf numFmtId="0" fontId="2" fillId="0" borderId="0" xfId="0" applyFont="1" applyBorder="1"/>
    <xf numFmtId="0" fontId="3" fillId="0" borderId="7" xfId="0" applyFont="1" applyBorder="1"/>
    <xf numFmtId="0" fontId="20" fillId="0" borderId="7" xfId="0" applyFont="1" applyBorder="1"/>
    <xf numFmtId="2" fontId="3" fillId="0" borderId="0" xfId="0" applyNumberFormat="1" applyFo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2" borderId="0" xfId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3" fontId="1" fillId="0" borderId="0" xfId="0" applyNumberFormat="1" applyFont="1"/>
  </cellXfs>
  <cellStyles count="2">
    <cellStyle name="20 % - Accent6" xfId="1" builtinId="50"/>
    <cellStyle name="Normal" xfId="0" builtinId="0"/>
  </cellStyles>
  <dxfs count="110"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7030A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8000"/>
      </font>
    </dxf>
    <dxf>
      <font>
        <color rgb="FFC00000"/>
      </font>
    </dxf>
    <dxf>
      <font>
        <color rgb="FFFF0000"/>
      </font>
    </dxf>
    <dxf>
      <font>
        <color rgb="FF7030A0"/>
      </font>
    </dxf>
    <dxf>
      <font>
        <color rgb="FF008000"/>
      </font>
    </dxf>
    <dxf>
      <font>
        <color rgb="FF008000"/>
      </font>
    </dxf>
    <dxf>
      <font>
        <color theme="9" tint="-0.499984740745262"/>
      </font>
    </dxf>
    <dxf>
      <font>
        <color rgb="FFFF0000"/>
      </font>
    </dxf>
    <dxf>
      <font>
        <color rgb="FF008000"/>
      </font>
    </dxf>
    <dxf>
      <font>
        <color rgb="FF008000"/>
      </font>
    </dxf>
    <dxf>
      <font>
        <color theme="9" tint="-0.499984740745262"/>
      </font>
    </dxf>
    <dxf>
      <font>
        <b val="0"/>
        <i val="0"/>
        <color rgb="FFFF000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7030A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8000"/>
      </font>
    </dxf>
    <dxf>
      <font>
        <color rgb="FFC00000"/>
      </font>
    </dxf>
    <dxf>
      <font>
        <color rgb="FFFF0000"/>
      </font>
    </dxf>
    <dxf>
      <font>
        <color rgb="FF7030A0"/>
      </font>
    </dxf>
    <dxf>
      <font>
        <color rgb="FF008000"/>
      </font>
    </dxf>
    <dxf>
      <font>
        <color rgb="FF008000"/>
      </font>
    </dxf>
    <dxf>
      <font>
        <color theme="9" tint="-0.499984740745262"/>
      </font>
    </dxf>
    <dxf>
      <font>
        <color rgb="FFFF0000"/>
      </font>
    </dxf>
    <dxf>
      <font>
        <color rgb="FF008000"/>
      </font>
    </dxf>
    <dxf>
      <font>
        <color rgb="FF008000"/>
      </font>
    </dxf>
    <dxf>
      <font>
        <color theme="9" tint="-0.499984740745262"/>
      </font>
    </dxf>
    <dxf>
      <font>
        <b val="0"/>
        <i val="0"/>
        <color rgb="FFFF000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</dxfs>
  <tableStyles count="0" defaultTableStyle="TableStyleMedium2" defaultPivotStyle="PivotStyleLight16"/>
  <colors>
    <mruColors>
      <color rgb="FFFFFFCC"/>
      <color rgb="FF003366"/>
      <color rgb="FF993300"/>
      <color rgb="FFC000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C240"/>
  <sheetViews>
    <sheetView tabSelected="1" zoomScaleNormal="100" workbookViewId="0">
      <selection activeCell="Y1" sqref="Y1"/>
    </sheetView>
  </sheetViews>
  <sheetFormatPr baseColWidth="10" defaultRowHeight="14.25" x14ac:dyDescent="0.2"/>
  <cols>
    <col min="1" max="1" width="2.28515625" style="3" customWidth="1"/>
    <col min="2" max="2" width="12.28515625" style="3" customWidth="1"/>
    <col min="3" max="3" width="26.28515625" style="3" customWidth="1"/>
    <col min="4" max="4" width="2.5703125" style="3" customWidth="1"/>
    <col min="5" max="5" width="11.42578125" style="3" customWidth="1"/>
    <col min="6" max="6" width="7.5703125" style="3" customWidth="1"/>
    <col min="7" max="7" width="11.85546875" style="3" customWidth="1"/>
    <col min="8" max="8" width="16.85546875" style="3" customWidth="1"/>
    <col min="9" max="9" width="0.85546875" style="3" customWidth="1"/>
    <col min="10" max="10" width="11.28515625" style="3" customWidth="1"/>
    <col min="11" max="11" width="11.42578125" style="3" customWidth="1"/>
    <col min="12" max="12" width="11.42578125" style="3"/>
    <col min="13" max="13" width="14.28515625" style="3" customWidth="1"/>
    <col min="14" max="14" width="11.42578125" style="3"/>
    <col min="15" max="15" width="14.28515625" style="3" customWidth="1"/>
    <col min="16" max="17" width="11.42578125" style="3"/>
    <col min="18" max="18" width="0.85546875" style="3" customWidth="1"/>
    <col min="19" max="19" width="2" style="3" customWidth="1"/>
    <col min="20" max="20" width="10" style="3" customWidth="1"/>
    <col min="21" max="21" width="3.7109375" style="3" customWidth="1"/>
    <col min="22" max="22" width="10.42578125" style="3" customWidth="1"/>
    <col min="23" max="23" width="26.28515625" style="3" customWidth="1"/>
    <col min="24" max="24" width="3.7109375" style="3" customWidth="1"/>
    <col min="25" max="25" width="2.5703125" style="3" customWidth="1"/>
    <col min="26" max="26" width="9.7109375" style="3" customWidth="1"/>
    <col min="27" max="27" width="7.5703125" style="3" customWidth="1"/>
    <col min="28" max="28" width="11.42578125" style="3"/>
    <col min="29" max="29" width="13.42578125" style="3" customWidth="1"/>
    <col min="30" max="31" width="11.42578125" style="3" customWidth="1"/>
    <col min="32" max="16384" width="11.42578125" style="3"/>
  </cols>
  <sheetData>
    <row r="1" spans="1:29" ht="15" thickTop="1" x14ac:dyDescent="0.2">
      <c r="A1" s="1" t="s">
        <v>3</v>
      </c>
      <c r="B1" s="1"/>
      <c r="C1" s="1"/>
      <c r="D1" s="1"/>
      <c r="E1" s="1"/>
      <c r="F1" s="1"/>
      <c r="G1" s="1"/>
      <c r="I1" s="18"/>
      <c r="J1" s="58" t="s">
        <v>75</v>
      </c>
      <c r="K1" s="5"/>
      <c r="L1" s="5"/>
      <c r="M1" s="5"/>
      <c r="N1" s="5"/>
      <c r="O1" s="5"/>
      <c r="P1" s="5"/>
      <c r="Q1" s="5"/>
      <c r="R1" s="20"/>
      <c r="S1" s="32" t="s">
        <v>336</v>
      </c>
    </row>
    <row r="2" spans="1:29" ht="15" thickBot="1" x14ac:dyDescent="0.25">
      <c r="A2" s="2" t="s">
        <v>0</v>
      </c>
      <c r="B2" s="2"/>
      <c r="C2" s="2"/>
      <c r="D2" s="2"/>
      <c r="E2" s="2"/>
      <c r="F2" s="2"/>
      <c r="I2" s="18"/>
      <c r="J2" s="25" t="s">
        <v>74</v>
      </c>
      <c r="K2" s="25"/>
      <c r="L2" s="25"/>
      <c r="M2" s="25"/>
      <c r="N2" s="25"/>
      <c r="R2" s="20"/>
      <c r="S2" s="45" t="s">
        <v>345</v>
      </c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15" thickTop="1" x14ac:dyDescent="0.2">
      <c r="A3" s="4" t="s">
        <v>1</v>
      </c>
      <c r="B3" s="4"/>
      <c r="C3" s="4"/>
      <c r="D3" s="4"/>
      <c r="E3" s="4"/>
      <c r="F3" s="4"/>
      <c r="G3" s="4"/>
      <c r="I3" s="18"/>
      <c r="J3" s="25" t="s">
        <v>217</v>
      </c>
      <c r="K3" s="25"/>
      <c r="L3" s="25"/>
      <c r="M3" s="25"/>
      <c r="N3" s="25"/>
      <c r="R3" s="20"/>
      <c r="S3" s="60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29" ht="15" thickBot="1" x14ac:dyDescent="0.25">
      <c r="A4" s="4" t="s">
        <v>2</v>
      </c>
      <c r="B4" s="4"/>
      <c r="C4" s="4"/>
      <c r="D4" s="4"/>
      <c r="E4" s="4"/>
      <c r="F4" s="4"/>
      <c r="G4" s="4"/>
      <c r="I4" s="20"/>
      <c r="J4" s="45" t="s">
        <v>309</v>
      </c>
      <c r="K4" s="6"/>
      <c r="L4" s="6"/>
      <c r="M4" s="6"/>
      <c r="N4" s="6"/>
      <c r="O4" s="6"/>
      <c r="P4" s="6"/>
      <c r="Q4" s="6"/>
      <c r="R4" s="20"/>
      <c r="S4" s="3" t="s">
        <v>342</v>
      </c>
    </row>
    <row r="5" spans="1:29" ht="15" thickTop="1" x14ac:dyDescent="0.2">
      <c r="A5" s="58" t="s">
        <v>76</v>
      </c>
      <c r="B5" s="58"/>
      <c r="C5" s="58"/>
      <c r="D5" s="58"/>
      <c r="E5" s="58"/>
      <c r="F5" s="58"/>
      <c r="G5" s="58"/>
      <c r="H5" s="58"/>
      <c r="I5" s="20"/>
      <c r="R5" s="20"/>
      <c r="S5" s="3" t="str">
        <f>CONCATENATE("Pertes manuelles du camp de ",C13," :")</f>
        <v>Pertes manuelles du camp de Ayana :</v>
      </c>
      <c r="X5" s="72"/>
      <c r="Y5" s="72"/>
      <c r="Z5" s="3" t="s">
        <v>346</v>
      </c>
    </row>
    <row r="6" spans="1:29" x14ac:dyDescent="0.2">
      <c r="A6" s="32" t="s">
        <v>377</v>
      </c>
      <c r="B6" s="32"/>
      <c r="C6" s="32"/>
      <c r="D6" s="32"/>
      <c r="E6" s="32"/>
      <c r="F6" s="32"/>
      <c r="G6" s="32"/>
      <c r="H6" s="32"/>
      <c r="I6" s="20"/>
      <c r="J6" s="3" t="s">
        <v>180</v>
      </c>
      <c r="M6" s="11" t="s">
        <v>62</v>
      </c>
      <c r="R6" s="20"/>
      <c r="S6" s="3" t="str">
        <f>CONCATENATE("Pertes manuelles du camp de ",C66," :")</f>
        <v>Pertes manuelles du camp de Marius :</v>
      </c>
      <c r="X6" s="72"/>
      <c r="Y6" s="72"/>
      <c r="Z6" s="3" t="s">
        <v>346</v>
      </c>
    </row>
    <row r="7" spans="1:29" ht="15" thickBot="1" x14ac:dyDescent="0.25">
      <c r="A7" s="6" t="s">
        <v>212</v>
      </c>
      <c r="B7" s="6"/>
      <c r="C7" s="6"/>
      <c r="D7" s="6"/>
      <c r="E7" s="6"/>
      <c r="F7" s="6"/>
      <c r="G7" s="6"/>
      <c r="H7" s="6"/>
      <c r="I7" s="20"/>
      <c r="J7" s="3" t="s">
        <v>201</v>
      </c>
      <c r="R7" s="20"/>
      <c r="S7" s="3" t="s">
        <v>341</v>
      </c>
    </row>
    <row r="8" spans="1:29" ht="15.75" customHeight="1" thickTop="1" x14ac:dyDescent="0.2">
      <c r="A8" s="25"/>
      <c r="C8" s="43" t="s">
        <v>358</v>
      </c>
      <c r="D8" s="25"/>
      <c r="E8" s="69" t="s">
        <v>343</v>
      </c>
      <c r="F8" s="69"/>
      <c r="G8" s="69"/>
      <c r="H8" s="25"/>
      <c r="I8" s="20"/>
      <c r="J8" s="3" t="s">
        <v>202</v>
      </c>
      <c r="M8" s="11"/>
      <c r="R8" s="20"/>
      <c r="S8" s="59" t="s">
        <v>347</v>
      </c>
      <c r="T8" s="25"/>
      <c r="U8" s="25"/>
      <c r="V8" s="25"/>
      <c r="W8" s="25"/>
      <c r="X8" s="25"/>
      <c r="Y8" s="25"/>
      <c r="Z8" s="25"/>
      <c r="AA8" s="25"/>
    </row>
    <row r="9" spans="1:29" x14ac:dyDescent="0.2">
      <c r="E9" s="68" t="str">
        <f>IF(OR(E8="",E8="Normal"),"(Normal pour le Camp 2)",IF(E8="Mode Poursuite","(Fuite pour le Camp 2)","(Poursuite pour le Camp 2)"))</f>
        <v>(Normal pour le Camp 2)</v>
      </c>
      <c r="F9" s="68"/>
      <c r="G9" s="68"/>
      <c r="I9" s="20"/>
      <c r="J9" s="2" t="s">
        <v>213</v>
      </c>
      <c r="L9" s="24" t="str">
        <f>IF(M6="* Renseignez la province *","Erreur : Merci de renseigner la région où a lieu le combat !",IF(M8="* Renseignez la province *","Info : Merci de renseigner la seconde région ou de la laisser vide.",IF(M6=M8,"Erreur : vous avez indiqué deux fois la même province !",IF(AND(M6="Terrain neutre",NOT(M8="")),"Erreur : province à renseigner sur le premier champ et non le second !",IF(AND(NOT(M8=""),NOT(C11="Plaine")),"Erreur : Seul un combat en plaine peut se dérouler sur une frontière !",IF(AND(C11="Mer",NOT(M6="Terrain neutre")),"Erreur : Un combat en mer se déroule obligatoirement en terrain neutre !","Conforme aux Règles du Wargame"))))))</f>
        <v>Conforme aux Règles du Wargame</v>
      </c>
      <c r="M9" s="24"/>
      <c r="N9" s="24"/>
      <c r="O9" s="24"/>
      <c r="P9" s="24"/>
      <c r="Q9" s="24"/>
      <c r="R9" s="20"/>
      <c r="S9" s="25" t="s">
        <v>349</v>
      </c>
      <c r="T9" s="25"/>
      <c r="U9" s="25"/>
      <c r="V9" s="25"/>
      <c r="W9" s="74" t="s">
        <v>343</v>
      </c>
      <c r="X9" s="74"/>
      <c r="Y9" s="74"/>
      <c r="AA9" s="25"/>
    </row>
    <row r="10" spans="1:29" x14ac:dyDescent="0.2">
      <c r="A10" s="62" t="s">
        <v>363</v>
      </c>
      <c r="B10" s="61"/>
      <c r="C10" s="61"/>
      <c r="D10" s="61"/>
      <c r="E10" s="61"/>
      <c r="F10" s="61"/>
      <c r="G10" s="61"/>
      <c r="H10" s="61"/>
      <c r="I10" s="18"/>
      <c r="J10" s="3" t="s">
        <v>200</v>
      </c>
      <c r="M10" s="11" t="s">
        <v>195</v>
      </c>
      <c r="R10" s="20"/>
      <c r="S10" s="3" t="s">
        <v>350</v>
      </c>
      <c r="W10" s="65" t="s">
        <v>343</v>
      </c>
      <c r="X10" s="65"/>
      <c r="Y10" s="65"/>
    </row>
    <row r="11" spans="1:29" x14ac:dyDescent="0.2">
      <c r="A11" s="3" t="s">
        <v>4</v>
      </c>
      <c r="C11" s="65" t="s">
        <v>46</v>
      </c>
      <c r="D11" s="65"/>
      <c r="E11" s="3" t="s">
        <v>48</v>
      </c>
      <c r="I11" s="18"/>
      <c r="J11" s="2" t="s">
        <v>213</v>
      </c>
      <c r="L11" s="24" t="str">
        <f>IF(OR(C11="* Indiquez le lieu du combat *",C11=""),"Erreur critique : précisez impérativement le type de terrain en C9 !!!",IF(M10="* Définir Fortifications *","Info : Merci de préciser le type de fortifications.",IF(OR(AND(C11="Mer",NOT(M10="Haute-Mer")),AND(C11="Siège",NOT(OR(M10="Capitale",M10="Ville majeure",M10="Ville mineure",M10="Bourg"))),AND(C11="Plaine",NOT(OR(M10="Plaine rase",M10="Avant-Poste",M10="Camp")))),"Erreur : non concordance entre le terrain et le type de fortifications !","Conforme aux Règles du Wargame")))</f>
        <v>Conforme aux Règles du Wargame</v>
      </c>
      <c r="M11" s="24"/>
      <c r="N11" s="24"/>
      <c r="O11" s="24"/>
      <c r="P11" s="24"/>
      <c r="Q11" s="24"/>
      <c r="R11" s="20"/>
      <c r="S11" s="3" t="str">
        <f>CONCATENATE("Pertes retenues pour le camp de ",C13," :")</f>
        <v>Pertes retenues pour le camp de Ayana :</v>
      </c>
      <c r="X11" s="73" t="str">
        <f>P186</f>
        <v>3</v>
      </c>
      <c r="Y11" s="68"/>
      <c r="Z11" s="3" t="str">
        <f>CONCATENATE("% de pertes",,Q186,Q187,Q188)</f>
        <v>% de pertes</v>
      </c>
    </row>
    <row r="12" spans="1:29" x14ac:dyDescent="0.2">
      <c r="I12" s="18"/>
      <c r="J12" s="3" t="s">
        <v>203</v>
      </c>
      <c r="M12" s="11">
        <v>160</v>
      </c>
      <c r="N12" s="3" t="s">
        <v>209</v>
      </c>
      <c r="R12" s="20"/>
      <c r="S12" s="3" t="str">
        <f>CONCATENATE("Pertes retenues pour le camp de ",C66," :")</f>
        <v>Pertes retenues pour le camp de Marius :</v>
      </c>
      <c r="X12" s="68" t="str">
        <f>P189</f>
        <v>90</v>
      </c>
      <c r="Y12" s="68"/>
      <c r="Z12" s="3" t="str">
        <f>CONCATENATE("% de pertes",Q189,Q190,Q191)</f>
        <v>% de pertes</v>
      </c>
    </row>
    <row r="13" spans="1:29" ht="15" thickBot="1" x14ac:dyDescent="0.25">
      <c r="B13" s="3" t="s">
        <v>20</v>
      </c>
      <c r="C13" s="11" t="s">
        <v>185</v>
      </c>
      <c r="I13" s="18"/>
      <c r="J13" s="2" t="s">
        <v>213</v>
      </c>
      <c r="L13" s="24" t="str">
        <f>IF(M12="PV Murs ?","Erreur : Merci de préciser les PV des Murs !",IF(AND(M12&gt;0,OR(M10="Haute-Mer",M10="Plaine rase")),"Info : Les forfitications étant inexistantes, les PV de murs seront ignorés.",IF(AND(NOT(OR(M10="Haute-Mer",M10="Plaine rase")),M12=""),"Erreur : PV de vos fortifications non définis !",IF(AND(M12&gt;80,M10="Avant-Poste"),"Erreur : Un Avant-Poste ne peut avoir que 80 PV maximum !",IF(AND(M12&gt;150,M10="Camp"),"Erreur : Un Camp ne peut avoir que 150 PV maximum !","Conforme aux Règles du Wargame")))))</f>
        <v>Conforme aux Règles du Wargame</v>
      </c>
      <c r="M13" s="24"/>
      <c r="N13" s="24"/>
      <c r="O13" s="24"/>
      <c r="P13" s="24"/>
      <c r="Q13" s="24"/>
      <c r="R13" s="20"/>
      <c r="S13" s="62" t="s">
        <v>363</v>
      </c>
      <c r="T13" s="61"/>
      <c r="U13" s="61"/>
      <c r="V13" s="61"/>
      <c r="W13" s="61"/>
      <c r="X13" s="61"/>
      <c r="Y13" s="61"/>
      <c r="Z13" s="61"/>
      <c r="AA13" s="61"/>
      <c r="AB13" s="61"/>
      <c r="AC13" s="61"/>
    </row>
    <row r="14" spans="1:29" ht="15" thickTop="1" x14ac:dyDescent="0.2">
      <c r="I14" s="18"/>
      <c r="J14" s="3" t="s">
        <v>211</v>
      </c>
      <c r="M14" s="26" t="s">
        <v>312</v>
      </c>
      <c r="R14" s="20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15" customHeight="1" x14ac:dyDescent="0.2">
      <c r="B15" s="3" t="s">
        <v>61</v>
      </c>
      <c r="C15" s="65" t="s">
        <v>27</v>
      </c>
      <c r="D15" s="65"/>
      <c r="E15" s="3" t="s">
        <v>48</v>
      </c>
      <c r="F15" s="70" t="str">
        <f>IF(E$8="Mode Poursuite","(Mode Poursuite)",IF(E$8="Mode Fuite","(Mode Fuite)",""))</f>
        <v/>
      </c>
      <c r="G15" s="70"/>
      <c r="I15" s="18"/>
      <c r="J15" s="2" t="s">
        <v>213</v>
      </c>
      <c r="L15" s="24" t="str">
        <f>IF(AND(M14="Oui",NOT(OR(M10="Ville majeure",M10="Capitale"))),"Erreur : Palais impossible hors des Capitales ou des Villes majeures !",IF(AND(M14="Oui",M12=0),"Erreur : Tous les bâtiments sont détruits si les Murs sont à 0 PV !","Conforme aux Règles du Wargame"))</f>
        <v>Conforme aux Règles du Wargame</v>
      </c>
      <c r="M15" s="24"/>
      <c r="N15" s="24"/>
      <c r="O15" s="24"/>
      <c r="P15" s="24"/>
      <c r="Q15" s="24"/>
      <c r="R15" s="20"/>
      <c r="T15" s="3" t="str">
        <f>CONCATENATE("Troupes ",C15," : ",P$186," % de pertes",Q186,Q187,Q188,L$183)</f>
        <v>Troupes de Bruma : 3 % de pertes</v>
      </c>
    </row>
    <row r="16" spans="1:29" x14ac:dyDescent="0.2">
      <c r="I16" s="18"/>
      <c r="J16" s="3" t="s">
        <v>320</v>
      </c>
      <c r="N16" s="65" t="s">
        <v>151</v>
      </c>
      <c r="O16" s="65"/>
      <c r="P16" s="65"/>
      <c r="R16" s="20"/>
    </row>
    <row r="17" spans="1:29" ht="15" customHeight="1" x14ac:dyDescent="0.2">
      <c r="B17" s="66" t="s">
        <v>184</v>
      </c>
      <c r="C17" s="66"/>
      <c r="D17" s="66"/>
      <c r="E17" s="66"/>
      <c r="F17" s="66"/>
      <c r="G17" s="66"/>
      <c r="H17" s="66"/>
      <c r="I17" s="18"/>
      <c r="R17" s="20"/>
      <c r="T17" s="56" t="str">
        <f>CONCATENATE(B17,L$180)</f>
        <v>Les Renards du Nord</v>
      </c>
    </row>
    <row r="18" spans="1:29" x14ac:dyDescent="0.2">
      <c r="A18" s="3" t="str">
        <f>IF(B18="","","# ")</f>
        <v xml:space="preserve"># </v>
      </c>
      <c r="B18" s="46" t="s">
        <v>49</v>
      </c>
      <c r="C18" s="64" t="s">
        <v>206</v>
      </c>
      <c r="D18" s="64"/>
      <c r="E18" s="64"/>
      <c r="F18" s="64"/>
      <c r="G18" s="64"/>
      <c r="H18" s="64"/>
      <c r="I18" s="18"/>
      <c r="J18" s="41" t="s">
        <v>218</v>
      </c>
      <c r="R18" s="20"/>
      <c r="S18" s="3" t="str">
        <f>A18</f>
        <v xml:space="preserve"># </v>
      </c>
      <c r="T18" s="3" t="str">
        <f>IF(OR(B18="",B18="* Rang PJ *"),"",B18)</f>
        <v xml:space="preserve">Vassal </v>
      </c>
      <c r="U18" s="3" t="str">
        <f>IF(C18="","",C18)</f>
        <v>Klothar</v>
      </c>
    </row>
    <row r="19" spans="1:29" ht="15" customHeight="1" x14ac:dyDescent="0.2">
      <c r="A19" s="3" t="s">
        <v>6</v>
      </c>
      <c r="B19" s="12">
        <v>9625</v>
      </c>
      <c r="C19" s="33" t="s">
        <v>10</v>
      </c>
      <c r="D19" s="3" t="s">
        <v>13</v>
      </c>
      <c r="E19" s="13">
        <f>5*B19</f>
        <v>48125</v>
      </c>
      <c r="F19" s="3" t="s">
        <v>14</v>
      </c>
      <c r="I19" s="18"/>
      <c r="R19" s="20"/>
      <c r="S19" s="3" t="s">
        <v>6</v>
      </c>
      <c r="T19" s="15">
        <f>B19</f>
        <v>9625</v>
      </c>
      <c r="U19" s="31" t="s">
        <v>338</v>
      </c>
      <c r="V19" s="15">
        <f>ROUND(T19*(1-M$186/100),0)</f>
        <v>9336</v>
      </c>
      <c r="W19" s="3" t="str">
        <f>C19</f>
        <v>Fantassins</v>
      </c>
      <c r="Y19" s="35" t="s">
        <v>340</v>
      </c>
      <c r="Z19" s="15">
        <f>V19*5</f>
        <v>46680</v>
      </c>
      <c r="AA19" s="3" t="s">
        <v>14</v>
      </c>
    </row>
    <row r="20" spans="1:29" ht="15" customHeight="1" x14ac:dyDescent="0.2">
      <c r="A20" s="3" t="s">
        <v>6</v>
      </c>
      <c r="B20" s="12">
        <v>2883</v>
      </c>
      <c r="C20" s="33" t="s">
        <v>11</v>
      </c>
      <c r="D20" s="3" t="s">
        <v>13</v>
      </c>
      <c r="E20" s="13">
        <f>10*B20</f>
        <v>28830</v>
      </c>
      <c r="F20" s="3" t="s">
        <v>15</v>
      </c>
      <c r="G20" s="13">
        <f>IF(E$8="Mode Poursuite",16*B20,IF(E$8="Mode Fuite",10*B20,4*B20))</f>
        <v>11532</v>
      </c>
      <c r="H20" s="3" t="str">
        <f>IF(E$8="Mode Poursuite","PU en Poursuite)",IF(E$8="Mode Fuite","PU en Fuite)","PU en Siège)"))</f>
        <v>PU en Siège)</v>
      </c>
      <c r="I20" s="18"/>
      <c r="J20" s="32" t="s">
        <v>227</v>
      </c>
      <c r="R20" s="20"/>
      <c r="S20" s="3" t="s">
        <v>6</v>
      </c>
      <c r="T20" s="15">
        <f t="shared" ref="T20:T21" si="0">B20</f>
        <v>2883</v>
      </c>
      <c r="U20" s="31" t="s">
        <v>338</v>
      </c>
      <c r="V20" s="15">
        <f>ROUND(T20*(1-M$187/100),0)</f>
        <v>2797</v>
      </c>
      <c r="W20" s="3" t="str">
        <f>C20</f>
        <v>Cavaliers</v>
      </c>
      <c r="Y20" s="35" t="s">
        <v>340</v>
      </c>
      <c r="Z20" s="15">
        <f>V20*10</f>
        <v>27970</v>
      </c>
      <c r="AA20" s="3" t="s">
        <v>15</v>
      </c>
      <c r="AB20" s="15">
        <f>V20*4</f>
        <v>11188</v>
      </c>
      <c r="AC20" s="3" t="s">
        <v>16</v>
      </c>
    </row>
    <row r="21" spans="1:29" ht="15" customHeight="1" x14ac:dyDescent="0.2">
      <c r="A21" s="3" t="s">
        <v>6</v>
      </c>
      <c r="B21" s="12">
        <v>1000</v>
      </c>
      <c r="C21" s="33" t="s">
        <v>12</v>
      </c>
      <c r="D21" s="3" t="s">
        <v>13</v>
      </c>
      <c r="E21" s="13">
        <f>5*B21</f>
        <v>5000</v>
      </c>
      <c r="F21" s="3" t="s">
        <v>15</v>
      </c>
      <c r="G21" s="13">
        <f>16*B21</f>
        <v>16000</v>
      </c>
      <c r="H21" s="3" t="s">
        <v>16</v>
      </c>
      <c r="I21" s="19"/>
      <c r="J21" s="3" t="s">
        <v>215</v>
      </c>
      <c r="L21" s="13">
        <f>IF(OR(C11="Mer",C11="Siège"),IF(G62&gt;G115,G62,G115),IF(C11="Plaine",IF(E62&gt;E115,E62,E115),"Erreur !"))</f>
        <v>168457</v>
      </c>
      <c r="M21" s="3" t="s">
        <v>214</v>
      </c>
      <c r="N21" s="13">
        <f>IF(OR(C11="Mer",C11="Siège"),IF(G62&lt;=G115,G62,G115),IF(C11="Plaine",IF(E62&lt;=E115,E62,E115),"Erreur !"))</f>
        <v>101350</v>
      </c>
      <c r="O21" s="3" t="s">
        <v>216</v>
      </c>
      <c r="P21" s="27">
        <f>L21/N21</f>
        <v>1.6621312284163789</v>
      </c>
      <c r="R21" s="20"/>
      <c r="S21" s="3" t="s">
        <v>6</v>
      </c>
      <c r="T21" s="15">
        <f t="shared" si="0"/>
        <v>1000</v>
      </c>
      <c r="U21" s="31" t="s">
        <v>338</v>
      </c>
      <c r="V21" s="15">
        <f>ROUND(T21*(1-M$188/100),0)</f>
        <v>970</v>
      </c>
      <c r="W21" s="3" t="str">
        <f>C21</f>
        <v>Unités de Siège</v>
      </c>
      <c r="Y21" s="35" t="s">
        <v>340</v>
      </c>
      <c r="Z21" s="15">
        <f>V21*5</f>
        <v>4850</v>
      </c>
      <c r="AA21" s="3" t="s">
        <v>15</v>
      </c>
      <c r="AB21" s="15">
        <f>V21*16</f>
        <v>15520</v>
      </c>
      <c r="AC21" s="3" t="s">
        <v>16</v>
      </c>
    </row>
    <row r="22" spans="1:29" x14ac:dyDescent="0.2">
      <c r="B22" s="67" t="s">
        <v>7</v>
      </c>
      <c r="C22" s="67"/>
      <c r="D22" s="1"/>
      <c r="E22" s="14">
        <f>IF(OR(C15="* Indiquez votre Seigneurie *",C15=""),0,IF(OR(E$8="",E$8="Mode Poursuite"),E19+G20+E21,E19+E20+E21))</f>
        <v>81955</v>
      </c>
      <c r="F22" s="1" t="s">
        <v>17</v>
      </c>
      <c r="G22" s="14">
        <f>IF(OR(C15="* Indiquez votre Seigneurie *",C15=""),0,E19+G20+G21)</f>
        <v>75657</v>
      </c>
      <c r="H22" s="1" t="s">
        <v>16</v>
      </c>
      <c r="I22" s="18"/>
      <c r="J22" s="3" t="str">
        <f>IF(P21&lt;2^0.25,"Bonus de Ratio","Bonus de Ratio pour le Camp de")</f>
        <v>Bonus de Ratio pour le Camp de</v>
      </c>
      <c r="M22" s="24" t="str">
        <f>IF(P21&lt;2^0.25,"",IF(OR(C11="Mer",C11="Siège"),IF(G62&gt;G115,C13,C66),IF(C11="Plaine",IF(E62&gt;E115,C13,C66),"Erreur !")))</f>
        <v>Ayana</v>
      </c>
      <c r="N22" s="3" t="str">
        <f>IF(O22="Égalité",":","de +")</f>
        <v>de +</v>
      </c>
      <c r="O22" s="27" t="str">
        <f>IF(P21&lt;2^0.25,"Égalité",IF(P21&lt;2^0.5,"1",IF(P21&lt;2^0.75,"2",IF(P21&lt;2^1,"3",IF(P21&lt;2^1.25,"4",IF(P21&lt;2^1.5,"5",IF(P21&lt;2^1.75,"6",IF(P21&lt;2^2,"7",IF(P21&lt;2^2.25,"8",IF(P21&lt;2^2.5,"9",IF(P21&lt;2^2.75,"10",IF(P21&lt;2^3,"11",IF(P21&lt;2^3.25,"12",IF(P21&lt;2^3.5,"13",IF(P21&lt;2^3.75,"14",IF(P21&lt;2^4,"15",IF(P21&lt;2^4.25,"16",IF(P21&lt;2^4.5,"17",IF(P21&lt;2^4.75,"18",IF(P21&lt;2^5,"19","20"))))))))))))))))))))</f>
        <v>2</v>
      </c>
      <c r="R22" s="20"/>
      <c r="T22" s="1" t="s">
        <v>7</v>
      </c>
      <c r="U22" s="3" t="str">
        <f>CONCATENATE(O141," =&gt;")</f>
        <v>81 955 =&gt;</v>
      </c>
      <c r="W22" s="15">
        <f>IF(E22=0,0,Z19+Z20+Z21)</f>
        <v>79500</v>
      </c>
      <c r="X22" s="3" t="s">
        <v>252</v>
      </c>
      <c r="AA22" s="57" t="str">
        <f>CONCATENATE("(",Q141," =&gt; ")</f>
        <v xml:space="preserve">(75 657 =&gt; </v>
      </c>
      <c r="AB22" s="15">
        <f>IF(E22=0,0,Z19+AB20+AB21)</f>
        <v>73388</v>
      </c>
      <c r="AC22" s="3" t="s">
        <v>16</v>
      </c>
    </row>
    <row r="23" spans="1:29" x14ac:dyDescent="0.2">
      <c r="I23" s="18"/>
      <c r="R23" s="20"/>
    </row>
    <row r="24" spans="1:29" x14ac:dyDescent="0.2">
      <c r="C24" s="3" t="s">
        <v>8</v>
      </c>
      <c r="E24" s="7">
        <f>IF(E62=0,0,100*E22/E62)</f>
        <v>54.291013878308107</v>
      </c>
      <c r="F24" s="1" t="s">
        <v>22</v>
      </c>
      <c r="I24" s="18"/>
      <c r="J24" s="32" t="s">
        <v>219</v>
      </c>
      <c r="R24" s="20"/>
    </row>
    <row r="25" spans="1:29" ht="15.75" customHeight="1" thickBot="1" x14ac:dyDescent="0.25">
      <c r="D25" s="7"/>
      <c r="E25" s="1"/>
      <c r="I25" s="20"/>
      <c r="J25" s="3" t="s">
        <v>220</v>
      </c>
      <c r="L25" s="68" t="str">
        <f>C13</f>
        <v>Ayana</v>
      </c>
      <c r="M25" s="68"/>
      <c r="N25" s="3" t="s">
        <v>221</v>
      </c>
      <c r="R25" s="20"/>
      <c r="V25" s="7"/>
      <c r="W25" s="1"/>
    </row>
    <row r="26" spans="1:29" x14ac:dyDescent="0.2">
      <c r="A26" s="8"/>
      <c r="B26" s="8"/>
      <c r="C26" s="8"/>
      <c r="D26" s="9"/>
      <c r="E26" s="10"/>
      <c r="F26" s="8"/>
      <c r="G26" s="8"/>
      <c r="H26" s="8"/>
      <c r="I26" s="18"/>
      <c r="J26" s="3" t="s">
        <v>219</v>
      </c>
      <c r="L26" s="11">
        <v>4</v>
      </c>
      <c r="R26" s="20"/>
      <c r="S26" s="8"/>
      <c r="T26" s="8"/>
      <c r="U26" s="8"/>
      <c r="V26" s="9"/>
      <c r="W26" s="10"/>
      <c r="X26" s="8"/>
      <c r="Y26" s="8"/>
      <c r="Z26" s="8"/>
      <c r="AA26" s="8"/>
      <c r="AB26" s="8"/>
      <c r="AC26" s="8"/>
    </row>
    <row r="27" spans="1:29" x14ac:dyDescent="0.2">
      <c r="A27" s="3" t="s">
        <v>9</v>
      </c>
      <c r="B27" s="3" t="s">
        <v>61</v>
      </c>
      <c r="C27" s="65" t="s">
        <v>44</v>
      </c>
      <c r="D27" s="65"/>
      <c r="E27" s="3" t="s">
        <v>48</v>
      </c>
      <c r="F27" s="70" t="str">
        <f>IF(E$8="Mode Poursuite","(Mode Poursuite)",IF(E$8="Mode Fuite","(Mode Fuite)",""))</f>
        <v/>
      </c>
      <c r="G27" s="70"/>
      <c r="I27" s="18"/>
      <c r="J27" s="3" t="s">
        <v>223</v>
      </c>
      <c r="L27" s="11">
        <v>4</v>
      </c>
      <c r="R27" s="20"/>
      <c r="T27" s="3" t="str">
        <f>CONCATENATE("Troupes ",C27," : ",P$186," % de pertes",Q198,Q199,Q200,L$183)</f>
        <v>Troupes de Skingrad : 3 % de pertes</v>
      </c>
    </row>
    <row r="28" spans="1:29" x14ac:dyDescent="0.2">
      <c r="I28" s="18"/>
      <c r="J28" s="3" t="s">
        <v>224</v>
      </c>
      <c r="L28" s="11">
        <v>0</v>
      </c>
      <c r="R28" s="20"/>
    </row>
    <row r="29" spans="1:29" x14ac:dyDescent="0.2">
      <c r="B29" s="66" t="s">
        <v>204</v>
      </c>
      <c r="C29" s="66"/>
      <c r="D29" s="66"/>
      <c r="E29" s="66"/>
      <c r="F29" s="66"/>
      <c r="G29" s="66"/>
      <c r="H29" s="66"/>
      <c r="I29" s="18"/>
      <c r="J29" s="3" t="s">
        <v>228</v>
      </c>
      <c r="L29" s="24">
        <f>IF(OR(L26="Réso Auto",L27="Réso Auto"),L28,IF(AND(L28=-1,L26+L27&gt;7),6,IF(AND(L28=-2,L26+L27&gt;6),4,IF(AND(L28=-3,L26+L27&gt;4),2,L26+L27+L28))))</f>
        <v>8</v>
      </c>
      <c r="R29" s="20"/>
      <c r="T29" s="56" t="str">
        <f>CONCATENATE(B29,L$180)</f>
        <v>Les Égorgeurs</v>
      </c>
    </row>
    <row r="30" spans="1:29" x14ac:dyDescent="0.2">
      <c r="A30" s="3" t="str">
        <f>IF(C30="","","# ")</f>
        <v/>
      </c>
      <c r="B30" s="46"/>
      <c r="C30" s="64"/>
      <c r="D30" s="64"/>
      <c r="E30" s="64"/>
      <c r="F30" s="64"/>
      <c r="G30" s="64"/>
      <c r="H30" s="64"/>
      <c r="I30" s="18"/>
      <c r="R30" s="20"/>
      <c r="S30" s="3" t="str">
        <f>A30</f>
        <v/>
      </c>
      <c r="T30" s="3" t="str">
        <f>IF(OR(B30="",B30="* Rang PJ *"),"",B30)</f>
        <v/>
      </c>
      <c r="U30" s="3" t="str">
        <f>IF(C30="","",C30)</f>
        <v/>
      </c>
    </row>
    <row r="31" spans="1:29" ht="15" customHeight="1" x14ac:dyDescent="0.2">
      <c r="A31" s="3" t="s">
        <v>6</v>
      </c>
      <c r="B31" s="12">
        <v>2000</v>
      </c>
      <c r="C31" s="33" t="s">
        <v>10</v>
      </c>
      <c r="D31" s="3" t="s">
        <v>13</v>
      </c>
      <c r="E31" s="13">
        <f>5*B31</f>
        <v>10000</v>
      </c>
      <c r="F31" s="3" t="s">
        <v>14</v>
      </c>
      <c r="I31" s="18"/>
      <c r="J31" s="3" t="s">
        <v>220</v>
      </c>
      <c r="L31" s="68" t="str">
        <f>C66</f>
        <v>Marius</v>
      </c>
      <c r="M31" s="68"/>
      <c r="N31" s="3" t="s">
        <v>221</v>
      </c>
      <c r="R31" s="20"/>
      <c r="S31" s="3" t="s">
        <v>6</v>
      </c>
      <c r="T31" s="15">
        <f>B31</f>
        <v>2000</v>
      </c>
      <c r="U31" s="31" t="s">
        <v>338</v>
      </c>
      <c r="V31" s="15">
        <f>ROUND(T31*(1-M$186/100),0)</f>
        <v>1940</v>
      </c>
      <c r="W31" s="3" t="str">
        <f>C31</f>
        <v>Fantassins</v>
      </c>
      <c r="Y31" s="35" t="s">
        <v>340</v>
      </c>
      <c r="Z31" s="15">
        <f>V31*5</f>
        <v>9700</v>
      </c>
      <c r="AA31" s="3" t="s">
        <v>14</v>
      </c>
    </row>
    <row r="32" spans="1:29" x14ac:dyDescent="0.2">
      <c r="A32" s="3" t="s">
        <v>6</v>
      </c>
      <c r="B32" s="12">
        <v>1000</v>
      </c>
      <c r="C32" s="33" t="s">
        <v>11</v>
      </c>
      <c r="D32" s="3" t="s">
        <v>13</v>
      </c>
      <c r="E32" s="13">
        <f>10*B32</f>
        <v>10000</v>
      </c>
      <c r="F32" s="3" t="s">
        <v>15</v>
      </c>
      <c r="G32" s="13">
        <f>IF(E$8="Mode Poursuite",16*B32,IF(E$8="Mode Fuite",10*B32,4*B32))</f>
        <v>4000</v>
      </c>
      <c r="H32" s="3" t="str">
        <f>IF(E$8="Mode Poursuite","PU en Poursuite)",IF(E$8="Mode Fuite","PU en Fuite)","PU en Siège)"))</f>
        <v>PU en Siège)</v>
      </c>
      <c r="I32" s="18"/>
      <c r="J32" s="3" t="s">
        <v>219</v>
      </c>
      <c r="L32" s="11">
        <v>3</v>
      </c>
      <c r="R32" s="20"/>
      <c r="S32" s="3" t="s">
        <v>6</v>
      </c>
      <c r="T32" s="15">
        <f t="shared" ref="T32:T33" si="1">B32</f>
        <v>1000</v>
      </c>
      <c r="U32" s="31" t="s">
        <v>338</v>
      </c>
      <c r="V32" s="15">
        <f>ROUND(T32*(1-M$187/100),0)</f>
        <v>970</v>
      </c>
      <c r="W32" s="3" t="str">
        <f>C32</f>
        <v>Cavaliers</v>
      </c>
      <c r="Y32" s="35" t="s">
        <v>340</v>
      </c>
      <c r="Z32" s="15">
        <f>V32*10</f>
        <v>9700</v>
      </c>
      <c r="AA32" s="3" t="s">
        <v>15</v>
      </c>
      <c r="AB32" s="15">
        <f>V32*4</f>
        <v>3880</v>
      </c>
      <c r="AC32" s="3" t="s">
        <v>16</v>
      </c>
    </row>
    <row r="33" spans="1:29" x14ac:dyDescent="0.2">
      <c r="A33" s="3" t="s">
        <v>6</v>
      </c>
      <c r="B33" s="12">
        <v>1000</v>
      </c>
      <c r="C33" s="33" t="s">
        <v>12</v>
      </c>
      <c r="D33" s="3" t="s">
        <v>13</v>
      </c>
      <c r="E33" s="13">
        <f>5*B33</f>
        <v>5000</v>
      </c>
      <c r="F33" s="3" t="s">
        <v>15</v>
      </c>
      <c r="G33" s="13">
        <f>16*B33</f>
        <v>16000</v>
      </c>
      <c r="H33" s="3" t="s">
        <v>16</v>
      </c>
      <c r="I33" s="19"/>
      <c r="J33" s="3" t="s">
        <v>223</v>
      </c>
      <c r="L33" s="11">
        <v>2</v>
      </c>
      <c r="R33" s="20"/>
      <c r="S33" s="3" t="s">
        <v>6</v>
      </c>
      <c r="T33" s="15">
        <f t="shared" si="1"/>
        <v>1000</v>
      </c>
      <c r="U33" s="31" t="s">
        <v>338</v>
      </c>
      <c r="V33" s="15">
        <f>ROUND(T33*(1-M$188/100),0)</f>
        <v>970</v>
      </c>
      <c r="W33" s="3" t="str">
        <f>C33</f>
        <v>Unités de Siège</v>
      </c>
      <c r="Y33" s="35" t="s">
        <v>340</v>
      </c>
      <c r="Z33" s="15">
        <f>V33*5</f>
        <v>4850</v>
      </c>
      <c r="AA33" s="3" t="s">
        <v>15</v>
      </c>
      <c r="AB33" s="15">
        <f>V33*16</f>
        <v>15520</v>
      </c>
      <c r="AC33" s="3" t="s">
        <v>16</v>
      </c>
    </row>
    <row r="34" spans="1:29" x14ac:dyDescent="0.2">
      <c r="B34" s="67" t="s">
        <v>7</v>
      </c>
      <c r="C34" s="67"/>
      <c r="D34" s="1"/>
      <c r="E34" s="14">
        <f>IF(OR(C27="* Indiquez votre Seigneurie *",C27=""),0,IF(OR(E$8="",E$8="Mode Poursuite"),E31+G32+E33,E31+E32+E33))</f>
        <v>25000</v>
      </c>
      <c r="F34" s="1" t="s">
        <v>17</v>
      </c>
      <c r="G34" s="14">
        <f>IF(OR(C27="* Indiquez votre Seigneurie *",C27=""),0,E31+G32+G33)</f>
        <v>30000</v>
      </c>
      <c r="H34" s="1" t="s">
        <v>16</v>
      </c>
      <c r="I34" s="18"/>
      <c r="J34" s="3" t="s">
        <v>224</v>
      </c>
      <c r="L34" s="11">
        <v>-1</v>
      </c>
      <c r="R34" s="20"/>
      <c r="T34" s="1" t="s">
        <v>7</v>
      </c>
      <c r="U34" s="3" t="str">
        <f>CONCATENATE(O142," =&gt;")</f>
        <v>25 000 =&gt;</v>
      </c>
      <c r="W34" s="15">
        <f>IF(E34=0,0,Z31+Z32+Z33)</f>
        <v>24250</v>
      </c>
      <c r="X34" s="3" t="s">
        <v>252</v>
      </c>
      <c r="AA34" s="57" t="str">
        <f>CONCATENATE("(",Q142," =&gt; ")</f>
        <v xml:space="preserve">(30 000 =&gt; </v>
      </c>
      <c r="AB34" s="15">
        <f>IF(E34=0,0,Z31+AB32+AB33)</f>
        <v>29100</v>
      </c>
      <c r="AC34" s="3" t="s">
        <v>16</v>
      </c>
    </row>
    <row r="35" spans="1:29" x14ac:dyDescent="0.2">
      <c r="I35" s="18"/>
      <c r="J35" s="3" t="s">
        <v>228</v>
      </c>
      <c r="L35" s="24">
        <f>IF(OR(L32="Réso Auto",L33="Réso Auto"),L34,IF(AND(L34=-1,L32+L33&gt;7),6,IF(AND(L34=-2,L32+L33&gt;6),4,IF(AND(L34=-3,L32+L33&gt;4),2,L32+L33+L34))))</f>
        <v>4</v>
      </c>
      <c r="R35" s="20"/>
    </row>
    <row r="36" spans="1:29" x14ac:dyDescent="0.2">
      <c r="C36" s="3" t="s">
        <v>8</v>
      </c>
      <c r="E36" s="7">
        <f>IF(E62=0,0,100*E34/E62)</f>
        <v>16.561226855685469</v>
      </c>
      <c r="F36" s="1" t="s">
        <v>22</v>
      </c>
      <c r="I36" s="18"/>
      <c r="R36" s="20"/>
    </row>
    <row r="37" spans="1:29" ht="15" thickBot="1" x14ac:dyDescent="0.25">
      <c r="D37" s="7"/>
      <c r="E37" s="1"/>
      <c r="I37" s="20"/>
      <c r="J37" s="3" t="str">
        <f>IF(L37="Égalité","Différence :","Différence :                +")</f>
        <v>Différence :                +</v>
      </c>
      <c r="L37" s="24">
        <f>IF(L29=L35,"Égalité",ABS(L29-L35))</f>
        <v>4</v>
      </c>
      <c r="M37" s="3" t="str">
        <f>IF(L37="Égalité","","pour le Camp de")</f>
        <v>pour le Camp de</v>
      </c>
      <c r="O37" s="68" t="str">
        <f>IF(L37="Égalité","",IF(L29&gt;L35,L25,L31))</f>
        <v>Ayana</v>
      </c>
      <c r="P37" s="68"/>
      <c r="R37" s="20"/>
      <c r="V37" s="7"/>
      <c r="W37" s="1"/>
    </row>
    <row r="38" spans="1:29" x14ac:dyDescent="0.2">
      <c r="A38" s="8"/>
      <c r="B38" s="8"/>
      <c r="C38" s="8"/>
      <c r="D38" s="9"/>
      <c r="E38" s="10"/>
      <c r="F38" s="8"/>
      <c r="G38" s="8"/>
      <c r="H38" s="8"/>
      <c r="I38" s="18"/>
      <c r="J38" s="2" t="s">
        <v>213</v>
      </c>
      <c r="R38" s="20"/>
      <c r="S38" s="8"/>
      <c r="T38" s="8"/>
      <c r="U38" s="8"/>
      <c r="V38" s="9"/>
      <c r="W38" s="10"/>
      <c r="X38" s="8"/>
      <c r="Y38" s="8"/>
      <c r="Z38" s="8"/>
      <c r="AA38" s="8"/>
      <c r="AB38" s="8"/>
      <c r="AC38" s="8"/>
    </row>
    <row r="39" spans="1:29" x14ac:dyDescent="0.2">
      <c r="A39" s="3" t="s">
        <v>9</v>
      </c>
      <c r="B39" s="3" t="s">
        <v>61</v>
      </c>
      <c r="C39" s="65" t="s">
        <v>32</v>
      </c>
      <c r="D39" s="65"/>
      <c r="E39" s="3" t="s">
        <v>48</v>
      </c>
      <c r="F39" s="70" t="str">
        <f>IF(E$8="Mode Poursuite","(Mode Poursuite)",IF(E$8="Mode Fuite","(Mode Fuite)",""))</f>
        <v/>
      </c>
      <c r="G39" s="70"/>
      <c r="I39" s="18"/>
      <c r="J39" s="24" t="str">
        <f>IF(AND(OR(L26="Réso Auto",L27="Réso Auto",L32="Réso Auto",L33="Réso Auto"),NOT(AND(L26="Réso Auto",L27="Réso Auto",L32="Réso Auto",L33="Réso Auto"))),"Erreur : Indiquez 'Réso Auto' sur toutes ou aucune des notes de RP et de Tactique !","Conforme aux Règles du Wargame")</f>
        <v>Conforme aux Règles du Wargame</v>
      </c>
      <c r="K39" s="24"/>
      <c r="L39" s="24"/>
      <c r="M39" s="24"/>
      <c r="N39" s="24"/>
      <c r="O39" s="24"/>
      <c r="P39" s="24"/>
      <c r="R39" s="20"/>
      <c r="T39" s="3" t="str">
        <f>CONCATENATE("Troupes ",C39," : ",P$186," % de pertes",Q210,Q211,Q212,L$183)</f>
        <v>Troupes d'Épervine : 3 % de pertes</v>
      </c>
    </row>
    <row r="40" spans="1:29" x14ac:dyDescent="0.2">
      <c r="I40" s="18"/>
      <c r="R40" s="20"/>
    </row>
    <row r="41" spans="1:29" x14ac:dyDescent="0.2">
      <c r="B41" s="66" t="s">
        <v>5</v>
      </c>
      <c r="C41" s="66"/>
      <c r="D41" s="66"/>
      <c r="E41" s="66"/>
      <c r="F41" s="66"/>
      <c r="G41" s="66"/>
      <c r="H41" s="66"/>
      <c r="I41" s="18"/>
      <c r="J41" s="32" t="s">
        <v>230</v>
      </c>
      <c r="R41" s="20"/>
      <c r="T41" s="56" t="str">
        <f>CONCATENATE(B41,L$180)</f>
        <v>Nom de l'armée</v>
      </c>
    </row>
    <row r="42" spans="1:29" x14ac:dyDescent="0.2">
      <c r="A42" s="3" t="str">
        <f>IF(C42="","","# ")</f>
        <v xml:space="preserve"># </v>
      </c>
      <c r="B42" s="46" t="s">
        <v>54</v>
      </c>
      <c r="C42" s="64" t="s">
        <v>205</v>
      </c>
      <c r="D42" s="64"/>
      <c r="E42" s="64"/>
      <c r="F42" s="64"/>
      <c r="G42" s="64"/>
      <c r="H42" s="64"/>
      <c r="I42" s="18"/>
      <c r="J42" s="3" t="str">
        <f>IF(L42="Aucun","Bonus de base :","Bonus de base :          +")</f>
        <v>Bonus de base :          +</v>
      </c>
      <c r="L42" s="24">
        <f>IF(M10="Capitale",4,IF(OR(M10="Ville majeure",M10="Ville mineure"),3,IF(OR(M10="Bourg",M10="Camp"),2,IF(M10="Avant-Poste",1,"Aucun"))))</f>
        <v>2</v>
      </c>
      <c r="R42" s="20"/>
      <c r="S42" s="3" t="str">
        <f>A42</f>
        <v xml:space="preserve"># </v>
      </c>
      <c r="T42" s="3" t="str">
        <f>IF(OR(B42="",B42="* Rang PJ *"),"",B42)</f>
        <v xml:space="preserve">Jarl </v>
      </c>
      <c r="U42" s="3" t="str">
        <f>IF(C42="","",C42)</f>
        <v>Harod</v>
      </c>
    </row>
    <row r="43" spans="1:29" x14ac:dyDescent="0.2">
      <c r="A43" s="3" t="s">
        <v>6</v>
      </c>
      <c r="B43" s="12">
        <v>2000</v>
      </c>
      <c r="C43" s="33" t="s">
        <v>10</v>
      </c>
      <c r="D43" s="3" t="s">
        <v>13</v>
      </c>
      <c r="E43" s="13">
        <f>5*B43</f>
        <v>10000</v>
      </c>
      <c r="F43" s="3" t="s">
        <v>14</v>
      </c>
      <c r="I43" s="18"/>
      <c r="J43" s="3" t="s">
        <v>233</v>
      </c>
      <c r="L43" s="24">
        <f>IF(OR(M10="Plaine Rase",M10="Haute-Mer",M10="* Définir Fortifications *",M10=""),0,IF(AND(M14="Oui",L15="Conforme aux Règles du Wargame"),1,0))</f>
        <v>0</v>
      </c>
      <c r="R43" s="20"/>
      <c r="S43" s="3" t="s">
        <v>6</v>
      </c>
      <c r="T43" s="15">
        <f>B43</f>
        <v>2000</v>
      </c>
      <c r="U43" s="31" t="s">
        <v>338</v>
      </c>
      <c r="V43" s="15">
        <f>ROUND(T43*(1-M$186/100),0)</f>
        <v>1940</v>
      </c>
      <c r="W43" s="3" t="str">
        <f>C43</f>
        <v>Fantassins</v>
      </c>
      <c r="Y43" s="35" t="s">
        <v>340</v>
      </c>
      <c r="Z43" s="15">
        <f>V43*5</f>
        <v>9700</v>
      </c>
      <c r="AA43" s="3" t="s">
        <v>14</v>
      </c>
    </row>
    <row r="44" spans="1:29" x14ac:dyDescent="0.2">
      <c r="A44" s="3" t="s">
        <v>6</v>
      </c>
      <c r="B44" s="12">
        <v>2000</v>
      </c>
      <c r="C44" s="33" t="s">
        <v>11</v>
      </c>
      <c r="D44" s="3" t="s">
        <v>13</v>
      </c>
      <c r="E44" s="13">
        <f>10*B44</f>
        <v>20000</v>
      </c>
      <c r="F44" s="3" t="s">
        <v>15</v>
      </c>
      <c r="G44" s="13">
        <f>IF(E$8="Mode Poursuite",16*B44,IF(E$8="Mode Fuite",10*B44,4*B44))</f>
        <v>8000</v>
      </c>
      <c r="H44" s="3" t="str">
        <f>IF(E$8="Mode Poursuite","PU en Poursuite)",IF(E$8="Mode Fuite","PU en Fuite)","PU en Siège)"))</f>
        <v>PU en Siège)</v>
      </c>
      <c r="I44" s="18"/>
      <c r="J44" s="3" t="s">
        <v>235</v>
      </c>
      <c r="L44" s="24">
        <f>IF(OR(M12="PV Murs ?",AND(M12&gt;0,OR(M10="Haute-Mer",M10="Plaine rase")),AND(NOT(OR(M10="Haute-Mer",M10="Plaine rase")),M12=""),M10="Haute-Mer",M10="Plaine rase"),0,IF(AND(C11="Siège",L11="Conforme aux Règles du Wargame"),IF(M12&gt;150,0,IF(M12&gt;80,-1,-2)),IF(M10="Camp",IF(M12&gt;80,0,IF(M12&gt;0,-1,-2)),IF(M10="Avant-Poste",IF(M12&gt;0,0,-1),"Erreur !"))))</f>
        <v>0</v>
      </c>
      <c r="R44" s="20"/>
      <c r="S44" s="3" t="s">
        <v>6</v>
      </c>
      <c r="T44" s="15">
        <f t="shared" ref="T44:T45" si="2">B44</f>
        <v>2000</v>
      </c>
      <c r="U44" s="31" t="s">
        <v>338</v>
      </c>
      <c r="V44" s="15">
        <f>ROUND(T44*(1-M$187/100),0)</f>
        <v>1940</v>
      </c>
      <c r="W44" s="3" t="str">
        <f>C44</f>
        <v>Cavaliers</v>
      </c>
      <c r="Y44" s="35" t="s">
        <v>340</v>
      </c>
      <c r="Z44" s="15">
        <f>V44*10</f>
        <v>19400</v>
      </c>
      <c r="AA44" s="3" t="s">
        <v>15</v>
      </c>
      <c r="AB44" s="15">
        <f>V44*4</f>
        <v>7760</v>
      </c>
      <c r="AC44" s="3" t="s">
        <v>16</v>
      </c>
    </row>
    <row r="45" spans="1:29" x14ac:dyDescent="0.2">
      <c r="A45" s="3" t="s">
        <v>6</v>
      </c>
      <c r="B45" s="12">
        <v>2800</v>
      </c>
      <c r="C45" s="33" t="s">
        <v>12</v>
      </c>
      <c r="D45" s="3" t="s">
        <v>13</v>
      </c>
      <c r="E45" s="13">
        <f>5*B45</f>
        <v>14000</v>
      </c>
      <c r="F45" s="3" t="s">
        <v>15</v>
      </c>
      <c r="G45" s="13">
        <f>16*B45</f>
        <v>44800</v>
      </c>
      <c r="H45" s="3" t="s">
        <v>16</v>
      </c>
      <c r="I45" s="19"/>
      <c r="J45" s="3" t="s">
        <v>7</v>
      </c>
      <c r="L45" s="24">
        <f>IF(L42="Aucun",0,L42+L43+L44)</f>
        <v>2</v>
      </c>
      <c r="M45" s="3" t="str">
        <f>IF(L45="Égalité","","pour le Camp de")</f>
        <v>pour le Camp de</v>
      </c>
      <c r="O45" s="68" t="str">
        <f>C66</f>
        <v>Marius</v>
      </c>
      <c r="P45" s="68"/>
      <c r="R45" s="20"/>
      <c r="S45" s="3" t="s">
        <v>6</v>
      </c>
      <c r="T45" s="15">
        <f t="shared" si="2"/>
        <v>2800</v>
      </c>
      <c r="U45" s="31" t="s">
        <v>338</v>
      </c>
      <c r="V45" s="15">
        <f>ROUND(T45*(1-M$188/100),0)</f>
        <v>2716</v>
      </c>
      <c r="W45" s="3" t="str">
        <f>C45</f>
        <v>Unités de Siège</v>
      </c>
      <c r="Y45" s="35" t="s">
        <v>340</v>
      </c>
      <c r="Z45" s="15">
        <f>V45*5</f>
        <v>13580</v>
      </c>
      <c r="AA45" s="3" t="s">
        <v>15</v>
      </c>
      <c r="AB45" s="15">
        <f>V45*16</f>
        <v>43456</v>
      </c>
      <c r="AC45" s="3" t="s">
        <v>16</v>
      </c>
    </row>
    <row r="46" spans="1:29" x14ac:dyDescent="0.2">
      <c r="B46" s="67" t="s">
        <v>7</v>
      </c>
      <c r="C46" s="67"/>
      <c r="D46" s="1"/>
      <c r="E46" s="14">
        <f>IF(OR(C39="* Indiquez votre Seigneurie *",C39=""),0,IF(OR(E$8="",E$8="Mode Poursuite"),E43+G44+E45,E43+E44+E45))</f>
        <v>44000</v>
      </c>
      <c r="F46" s="1" t="s">
        <v>17</v>
      </c>
      <c r="G46" s="14">
        <f>IF(OR(C39="* Indiquez votre Seigneurie *",C39=""),0,E43+G44+G45)</f>
        <v>62800</v>
      </c>
      <c r="H46" s="1" t="s">
        <v>16</v>
      </c>
      <c r="I46" s="18"/>
      <c r="R46" s="20"/>
      <c r="T46" s="1" t="s">
        <v>7</v>
      </c>
      <c r="U46" s="3" t="str">
        <f>CONCATENATE(O143," =&gt;")</f>
        <v>44 000 =&gt;</v>
      </c>
      <c r="W46" s="15">
        <f>IF(E46=0,0,Z43+Z44+Z45)</f>
        <v>42680</v>
      </c>
      <c r="X46" s="3" t="s">
        <v>252</v>
      </c>
      <c r="AA46" s="57" t="str">
        <f>CONCATENATE("(",Q143," =&gt; ")</f>
        <v xml:space="preserve">(62 800 =&gt; </v>
      </c>
      <c r="AB46" s="15">
        <f>IF(E46=0,0,Z43+AB44+AB45)</f>
        <v>60916</v>
      </c>
      <c r="AC46" s="3" t="s">
        <v>16</v>
      </c>
    </row>
    <row r="47" spans="1:29" x14ac:dyDescent="0.2">
      <c r="I47" s="18"/>
      <c r="J47" s="32" t="s">
        <v>236</v>
      </c>
      <c r="R47" s="20"/>
    </row>
    <row r="48" spans="1:29" x14ac:dyDescent="0.2">
      <c r="C48" s="3" t="s">
        <v>8</v>
      </c>
      <c r="E48" s="7">
        <f>IF(E62=0,0,100*E46/E62)</f>
        <v>29.147759266006425</v>
      </c>
      <c r="F48" s="1" t="s">
        <v>22</v>
      </c>
      <c r="I48" s="18"/>
      <c r="J48" s="3" t="str">
        <f>IF(M48="Charisme","Aucun Bonus de","Bonus de Charisme de +")</f>
        <v>Bonus de Charisme de +</v>
      </c>
      <c r="M48" s="24">
        <f>IF(G141=0,"Charisme",G141)</f>
        <v>2</v>
      </c>
      <c r="N48" s="3" t="s">
        <v>237</v>
      </c>
      <c r="P48" s="68" t="str">
        <f>C13</f>
        <v>Ayana</v>
      </c>
      <c r="Q48" s="68"/>
      <c r="R48" s="20"/>
    </row>
    <row r="49" spans="1:29" ht="15" thickBot="1" x14ac:dyDescent="0.25">
      <c r="D49" s="7"/>
      <c r="E49" s="1"/>
      <c r="I49" s="20"/>
      <c r="J49" s="3" t="str">
        <f>IF(M49="Charisme","Aucun Bonus de","Bonus de Charisme de +")</f>
        <v>Bonus de Charisme de +</v>
      </c>
      <c r="M49" s="24">
        <f>IF(G146=0,"Charisme",G146)</f>
        <v>2</v>
      </c>
      <c r="N49" s="3" t="s">
        <v>237</v>
      </c>
      <c r="P49" s="68" t="str">
        <f>C66</f>
        <v>Marius</v>
      </c>
      <c r="Q49" s="68"/>
      <c r="R49" s="20"/>
      <c r="V49" s="7"/>
      <c r="W49" s="1"/>
    </row>
    <row r="50" spans="1:29" x14ac:dyDescent="0.2">
      <c r="A50" s="8"/>
      <c r="B50" s="8"/>
      <c r="C50" s="8"/>
      <c r="D50" s="9"/>
      <c r="E50" s="10"/>
      <c r="F50" s="8"/>
      <c r="G50" s="8"/>
      <c r="H50" s="8"/>
      <c r="I50" s="18"/>
      <c r="R50" s="20"/>
      <c r="S50" s="8"/>
      <c r="T50" s="8"/>
      <c r="U50" s="8"/>
      <c r="V50" s="9"/>
      <c r="W50" s="10"/>
      <c r="X50" s="8"/>
      <c r="Y50" s="8"/>
      <c r="Z50" s="8"/>
      <c r="AA50" s="8"/>
      <c r="AB50" s="8"/>
      <c r="AC50" s="8"/>
    </row>
    <row r="51" spans="1:29" x14ac:dyDescent="0.2">
      <c r="A51" s="3" t="s">
        <v>9</v>
      </c>
      <c r="B51" s="3" t="s">
        <v>61</v>
      </c>
      <c r="C51" s="65" t="s">
        <v>23</v>
      </c>
      <c r="D51" s="65"/>
      <c r="E51" s="3" t="s">
        <v>48</v>
      </c>
      <c r="F51" s="70" t="str">
        <f>IF(E$8="Mode Poursuite","(Mode Poursuite)",IF(E$8="Mode Fuite","(Mode Fuite)",""))</f>
        <v/>
      </c>
      <c r="G51" s="70"/>
      <c r="I51" s="18"/>
      <c r="J51" s="32" t="s">
        <v>245</v>
      </c>
      <c r="R51" s="20"/>
      <c r="T51" s="3" t="str">
        <f>CONCATENATE("Troupes ",C51," : ",P$186," % de pertes",Q222,Q223,Q224,L$183)</f>
        <v>Troupes * Indiquez votre Seigneurie * : 3 % de pertes</v>
      </c>
    </row>
    <row r="52" spans="1:29" x14ac:dyDescent="0.2">
      <c r="I52" s="18"/>
      <c r="J52" s="3" t="s">
        <v>250</v>
      </c>
      <c r="M52" s="24" t="str">
        <f>C13</f>
        <v>Ayana</v>
      </c>
      <c r="N52" s="3" t="s">
        <v>246</v>
      </c>
      <c r="O52" s="13">
        <f>J144</f>
        <v>106955</v>
      </c>
      <c r="P52" s="3" t="s">
        <v>252</v>
      </c>
      <c r="R52" s="20"/>
    </row>
    <row r="53" spans="1:29" x14ac:dyDescent="0.2">
      <c r="B53" s="66" t="s">
        <v>5</v>
      </c>
      <c r="C53" s="66"/>
      <c r="D53" s="66"/>
      <c r="E53" s="66"/>
      <c r="F53" s="66"/>
      <c r="G53" s="66"/>
      <c r="H53" s="66"/>
      <c r="I53" s="18"/>
      <c r="J53" s="3" t="s">
        <v>250</v>
      </c>
      <c r="M53" s="24" t="str">
        <f>C66</f>
        <v>Marius</v>
      </c>
      <c r="N53" s="3" t="s">
        <v>246</v>
      </c>
      <c r="O53" s="13">
        <f>K144</f>
        <v>36750</v>
      </c>
      <c r="P53" s="3" t="s">
        <v>252</v>
      </c>
      <c r="R53" s="20"/>
      <c r="T53" s="56" t="str">
        <f>CONCATENATE(B53,L$180)</f>
        <v>Nom de l'armée</v>
      </c>
    </row>
    <row r="54" spans="1:29" x14ac:dyDescent="0.2">
      <c r="A54" s="3" t="str">
        <f>IF(C54="","","# ")</f>
        <v xml:space="preserve"># </v>
      </c>
      <c r="B54" s="46" t="s">
        <v>182</v>
      </c>
      <c r="C54" s="64" t="s">
        <v>21</v>
      </c>
      <c r="D54" s="64"/>
      <c r="E54" s="64"/>
      <c r="F54" s="64"/>
      <c r="G54" s="64"/>
      <c r="H54" s="64"/>
      <c r="I54" s="18"/>
      <c r="J54" s="3" t="s">
        <v>251</v>
      </c>
      <c r="M54" s="24" t="str">
        <f>C13</f>
        <v>Ayana</v>
      </c>
      <c r="N54" s="3" t="s">
        <v>246</v>
      </c>
      <c r="O54" s="36">
        <f>J145*100</f>
        <v>70.852240733993582</v>
      </c>
      <c r="P54" s="3" t="s">
        <v>22</v>
      </c>
      <c r="R54" s="20"/>
      <c r="S54" s="3" t="str">
        <f>A54</f>
        <v xml:space="preserve"># </v>
      </c>
      <c r="T54" s="3" t="str">
        <f>IF(OR(B54="",B54="* Rang PJ *"),"",B54)</f>
        <v/>
      </c>
      <c r="U54" s="3" t="str">
        <f>IF(C54="","",C54)</f>
        <v>Indiquez la présence de vos Seigneurs ici</v>
      </c>
    </row>
    <row r="55" spans="1:29" x14ac:dyDescent="0.2">
      <c r="A55" s="3" t="s">
        <v>6</v>
      </c>
      <c r="B55" s="12">
        <v>1000</v>
      </c>
      <c r="C55" s="33" t="s">
        <v>10</v>
      </c>
      <c r="D55" s="3" t="s">
        <v>13</v>
      </c>
      <c r="E55" s="13">
        <f>5*B55</f>
        <v>5000</v>
      </c>
      <c r="F55" s="3" t="s">
        <v>14</v>
      </c>
      <c r="I55" s="18"/>
      <c r="J55" s="3" t="s">
        <v>251</v>
      </c>
      <c r="M55" s="24" t="str">
        <f>C66</f>
        <v>Marius</v>
      </c>
      <c r="N55" s="3" t="s">
        <v>246</v>
      </c>
      <c r="O55" s="36">
        <f>K145*100</f>
        <v>64.757709251101332</v>
      </c>
      <c r="P55" s="3" t="s">
        <v>22</v>
      </c>
      <c r="R55" s="20"/>
      <c r="S55" s="3" t="s">
        <v>6</v>
      </c>
      <c r="T55" s="15">
        <f>B55</f>
        <v>1000</v>
      </c>
      <c r="U55" s="31" t="s">
        <v>338</v>
      </c>
      <c r="V55" s="15">
        <f>ROUND(T55*(1-M$186/100),0)</f>
        <v>970</v>
      </c>
      <c r="W55" s="3" t="str">
        <f>C55</f>
        <v>Fantassins</v>
      </c>
      <c r="Y55" s="35" t="s">
        <v>340</v>
      </c>
      <c r="Z55" s="15">
        <f>V55*5</f>
        <v>4850</v>
      </c>
      <c r="AA55" s="3" t="s">
        <v>14</v>
      </c>
    </row>
    <row r="56" spans="1:29" x14ac:dyDescent="0.2">
      <c r="A56" s="3" t="s">
        <v>6</v>
      </c>
      <c r="B56" s="12">
        <v>1000</v>
      </c>
      <c r="C56" s="33" t="s">
        <v>11</v>
      </c>
      <c r="D56" s="3" t="s">
        <v>13</v>
      </c>
      <c r="E56" s="13">
        <f>10*B56</f>
        <v>10000</v>
      </c>
      <c r="F56" s="3" t="s">
        <v>15</v>
      </c>
      <c r="G56" s="13">
        <f>IF(E$8="Mode Poursuite",16*B56,IF(E$8="Mode Fuite",10*B56,4*B56))</f>
        <v>4000</v>
      </c>
      <c r="H56" s="3" t="str">
        <f>IF(E$8="Mode Poursuite","PU en Poursuite)",IF(E$8="Mode Fuite","PU en Fuite)","PU en Siège)"))</f>
        <v>PU en Siège)</v>
      </c>
      <c r="I56" s="18"/>
      <c r="J56" s="3" t="str">
        <f>IF(M56="Domicile","Aucun Bonus de Combat à","Bonus de Combat à Domicile de +")</f>
        <v>Bonus de Combat à Domicile de +</v>
      </c>
      <c r="M56" s="24">
        <f>IF(O54&lt;25,"Domicile",1)</f>
        <v>1</v>
      </c>
      <c r="N56" s="3" t="s">
        <v>237</v>
      </c>
      <c r="P56" s="68" t="str">
        <f>C13</f>
        <v>Ayana</v>
      </c>
      <c r="Q56" s="68"/>
      <c r="R56" s="20"/>
      <c r="S56" s="3" t="s">
        <v>6</v>
      </c>
      <c r="T56" s="15">
        <f t="shared" ref="T56:T57" si="3">B56</f>
        <v>1000</v>
      </c>
      <c r="U56" s="31" t="s">
        <v>338</v>
      </c>
      <c r="V56" s="15">
        <f>ROUND(T56*(1-M$187/100),0)</f>
        <v>970</v>
      </c>
      <c r="W56" s="3" t="str">
        <f>C56</f>
        <v>Cavaliers</v>
      </c>
      <c r="Y56" s="35" t="s">
        <v>340</v>
      </c>
      <c r="Z56" s="15">
        <f>V56*10</f>
        <v>9700</v>
      </c>
      <c r="AA56" s="3" t="s">
        <v>15</v>
      </c>
      <c r="AB56" s="15">
        <f>V56*4</f>
        <v>3880</v>
      </c>
      <c r="AC56" s="3" t="s">
        <v>16</v>
      </c>
    </row>
    <row r="57" spans="1:29" x14ac:dyDescent="0.2">
      <c r="A57" s="3" t="s">
        <v>6</v>
      </c>
      <c r="B57" s="12">
        <v>1000</v>
      </c>
      <c r="C57" s="33" t="s">
        <v>12</v>
      </c>
      <c r="D57" s="3" t="s">
        <v>13</v>
      </c>
      <c r="E57" s="13">
        <f>5*B57</f>
        <v>5000</v>
      </c>
      <c r="F57" s="3" t="s">
        <v>15</v>
      </c>
      <c r="G57" s="13">
        <f>16*B57</f>
        <v>16000</v>
      </c>
      <c r="H57" s="3" t="s">
        <v>16</v>
      </c>
      <c r="I57" s="19"/>
      <c r="J57" s="3" t="str">
        <f>IF(M57="domicile","Aucun Bonus de Combat à","Bonus de Combat à Domicile de +")</f>
        <v>Bonus de Combat à Domicile de +</v>
      </c>
      <c r="M57" s="24">
        <f>IF(O55&lt;25,"Domicile",1)</f>
        <v>1</v>
      </c>
      <c r="N57" s="3" t="s">
        <v>237</v>
      </c>
      <c r="P57" s="68" t="str">
        <f>C66</f>
        <v>Marius</v>
      </c>
      <c r="Q57" s="68"/>
      <c r="R57" s="20"/>
      <c r="S57" s="3" t="s">
        <v>6</v>
      </c>
      <c r="T57" s="15">
        <f t="shared" si="3"/>
        <v>1000</v>
      </c>
      <c r="U57" s="31" t="s">
        <v>338</v>
      </c>
      <c r="V57" s="15">
        <f>ROUND(T57*(1-M$188/100),0)</f>
        <v>970</v>
      </c>
      <c r="W57" s="3" t="str">
        <f>C57</f>
        <v>Unités de Siège</v>
      </c>
      <c r="Y57" s="35" t="s">
        <v>340</v>
      </c>
      <c r="Z57" s="15">
        <f>V57*5</f>
        <v>4850</v>
      </c>
      <c r="AA57" s="3" t="s">
        <v>15</v>
      </c>
      <c r="AB57" s="15">
        <f>V57*16</f>
        <v>15520</v>
      </c>
      <c r="AC57" s="3" t="s">
        <v>16</v>
      </c>
    </row>
    <row r="58" spans="1:29" x14ac:dyDescent="0.2">
      <c r="B58" s="67" t="s">
        <v>7</v>
      </c>
      <c r="C58" s="67"/>
      <c r="D58" s="1"/>
      <c r="E58" s="14">
        <f>IF(OR(C51="* Indiquez votre Seigneurie *",C51=""),0,IF(OR(E$8="",E$8="Mode Poursuite"),E55+G56+E57,E55+E56+E57))</f>
        <v>0</v>
      </c>
      <c r="F58" s="1" t="s">
        <v>17</v>
      </c>
      <c r="G58" s="14">
        <f>IF(OR(C51="* Indiquez votre Seigneurie *",C51=""),0,E55+G56+G57)</f>
        <v>0</v>
      </c>
      <c r="H58" s="1" t="s">
        <v>16</v>
      </c>
      <c r="I58" s="18"/>
      <c r="R58" s="20"/>
      <c r="T58" s="1" t="s">
        <v>7</v>
      </c>
      <c r="U58" s="3" t="str">
        <f>CONCATENATE(O144," =&gt;")</f>
        <v>0 =&gt;</v>
      </c>
      <c r="W58" s="15">
        <f>IF(E58=0,0,Z55+Z56+Z57)</f>
        <v>0</v>
      </c>
      <c r="X58" s="3" t="s">
        <v>252</v>
      </c>
      <c r="AA58" s="57" t="str">
        <f>CONCATENATE("(",Q144," =&gt; ")</f>
        <v xml:space="preserve">(0 =&gt; </v>
      </c>
      <c r="AB58" s="15">
        <f>IF(E58=0,0,Z55+AB56+AB57)</f>
        <v>0</v>
      </c>
      <c r="AC58" s="3" t="s">
        <v>16</v>
      </c>
    </row>
    <row r="59" spans="1:29" x14ac:dyDescent="0.2">
      <c r="I59" s="18"/>
      <c r="J59" s="32" t="s">
        <v>59</v>
      </c>
      <c r="R59" s="20"/>
      <c r="T59" s="1"/>
      <c r="W59" s="15"/>
      <c r="AA59" s="57"/>
      <c r="AB59" s="15"/>
    </row>
    <row r="60" spans="1:29" x14ac:dyDescent="0.2">
      <c r="C60" s="3" t="s">
        <v>8</v>
      </c>
      <c r="E60" s="7">
        <f>IF(E62=0,0,100*E58/E62)</f>
        <v>0</v>
      </c>
      <c r="F60" s="1" t="s">
        <v>22</v>
      </c>
      <c r="I60" s="18"/>
      <c r="J60" s="3" t="s">
        <v>253</v>
      </c>
      <c r="M60" s="24" t="str">
        <f>C13</f>
        <v>Ayana</v>
      </c>
      <c r="N60" s="3" t="s">
        <v>246</v>
      </c>
      <c r="O60" s="65" t="s">
        <v>255</v>
      </c>
      <c r="P60" s="65"/>
      <c r="R60" s="20"/>
      <c r="T60" s="1"/>
      <c r="W60" s="15"/>
      <c r="AA60" s="57"/>
      <c r="AB60" s="15"/>
    </row>
    <row r="61" spans="1:29" x14ac:dyDescent="0.2">
      <c r="I61" s="18"/>
      <c r="J61" s="3" t="s">
        <v>253</v>
      </c>
      <c r="M61" s="24" t="str">
        <f>C66</f>
        <v>Marius</v>
      </c>
      <c r="N61" s="3" t="s">
        <v>246</v>
      </c>
      <c r="O61" s="65" t="s">
        <v>258</v>
      </c>
      <c r="P61" s="65"/>
      <c r="R61" s="20"/>
    </row>
    <row r="62" spans="1:29" x14ac:dyDescent="0.2">
      <c r="C62" s="3" t="s">
        <v>19</v>
      </c>
      <c r="E62" s="13">
        <f>E22+E34+E46+E58</f>
        <v>150955</v>
      </c>
      <c r="F62" s="3" t="s">
        <v>17</v>
      </c>
      <c r="G62" s="13">
        <f>G22+G34+G46+G58</f>
        <v>168457</v>
      </c>
      <c r="H62" s="3" t="s">
        <v>16</v>
      </c>
      <c r="I62" s="18"/>
      <c r="J62" s="3" t="str">
        <f>IF(L62="Moral ?","Erreur !",IF(L62="Défaite","Obligatoirement",IF(L62="","Pas de Malus de Moral","Malus de Moral de")))</f>
        <v>Pas de Malus de Moral</v>
      </c>
      <c r="L62" s="24" t="str">
        <f>IF(O60="Démoralisé","Défaite",IF(OR(O60="OK",O60="Entamé"),"",IF(O60="Faible",-1,IF(O60="Très Faible",-3,"Moral ?"))))</f>
        <v/>
      </c>
      <c r="M62" s="3" t="s">
        <v>237</v>
      </c>
      <c r="O62" s="68" t="str">
        <f>C13</f>
        <v>Ayana</v>
      </c>
      <c r="P62" s="68"/>
      <c r="R62" s="20"/>
      <c r="S62" s="1"/>
      <c r="T62" s="1" t="s">
        <v>19</v>
      </c>
      <c r="U62" s="1"/>
      <c r="V62" s="1"/>
      <c r="W62" s="1" t="str">
        <f>CONCATENATE(O145," =&gt;"," ",M144)</f>
        <v>150 955 =&gt; 146 430</v>
      </c>
      <c r="X62" s="1" t="s">
        <v>252</v>
      </c>
      <c r="Y62" s="1"/>
      <c r="Z62" s="1"/>
      <c r="AA62" s="43" t="str">
        <f>CONCATENATE("(",Q145," =&gt; ")</f>
        <v xml:space="preserve">(168 457 =&gt; </v>
      </c>
      <c r="AB62" s="76">
        <f>AB22+AB34+AB46+AB58</f>
        <v>163404</v>
      </c>
      <c r="AC62" s="1" t="s">
        <v>16</v>
      </c>
    </row>
    <row r="63" spans="1:29" ht="15" thickBot="1" x14ac:dyDescent="0.25">
      <c r="E63" s="15"/>
      <c r="G63" s="15"/>
      <c r="I63" s="20"/>
      <c r="J63" s="3" t="str">
        <f>IF(L63="Moral ?","Erreur !",IF(L63="Défaite","Obligatoirement",IF(L63="","Pas de Malus de Moral","Malus de Moral de")))</f>
        <v>Malus de Moral de</v>
      </c>
      <c r="L63" s="24">
        <f>IF(O61="Démoralisé","Défaite",IF(OR(O61="OK",O61="Entamé"),"",IF(O61="Faible",-1,IF(O61="Très Faible",-3,"Moral ?"))))</f>
        <v>-3</v>
      </c>
      <c r="M63" s="3" t="s">
        <v>237</v>
      </c>
      <c r="O63" s="68" t="str">
        <f>C66</f>
        <v>Marius</v>
      </c>
      <c r="P63" s="68"/>
      <c r="R63" s="20"/>
      <c r="W63" s="15"/>
      <c r="Z63" s="15"/>
    </row>
    <row r="64" spans="1:29" ht="15.75" thickTop="1" thickBot="1" x14ac:dyDescent="0.25">
      <c r="A64" s="16"/>
      <c r="B64" s="17" t="s">
        <v>18</v>
      </c>
      <c r="C64" s="16"/>
      <c r="D64" s="16"/>
      <c r="E64" s="16"/>
      <c r="F64" s="16"/>
      <c r="G64" s="16"/>
      <c r="H64" s="16"/>
      <c r="I64" s="18"/>
      <c r="J64" s="2" t="s">
        <v>213</v>
      </c>
      <c r="L64" s="24" t="str">
        <f>IF(OR(O60="",O61="",O60="* Définir Moral *",O61="* Définir Moral *"),"Erreur : Merci de renseigner le Moral des troupes !",IF(OR(O60="Démoralisé",O61="Démoralisé"),"Erreur : Une armée Démoralisée ne peut combattre !","Conforme aux Règles du Wargame"))</f>
        <v>Conforme aux Règles du Wargame</v>
      </c>
      <c r="R64" s="20"/>
      <c r="S64" s="16"/>
      <c r="T64" s="17" t="s">
        <v>18</v>
      </c>
      <c r="U64" s="16"/>
      <c r="V64" s="16"/>
      <c r="W64" s="16"/>
      <c r="X64" s="16"/>
      <c r="Y64" s="16"/>
      <c r="Z64" s="16"/>
      <c r="AA64" s="16"/>
      <c r="AB64" s="16"/>
      <c r="AC64" s="16"/>
    </row>
    <row r="65" spans="1:29" ht="15" thickTop="1" x14ac:dyDescent="0.2">
      <c r="I65" s="18"/>
      <c r="J65" s="1"/>
      <c r="R65" s="20"/>
    </row>
    <row r="66" spans="1:29" x14ac:dyDescent="0.2">
      <c r="B66" s="3" t="s">
        <v>20</v>
      </c>
      <c r="C66" s="11" t="s">
        <v>207</v>
      </c>
      <c r="I66" s="18"/>
      <c r="J66" s="32" t="s">
        <v>260</v>
      </c>
      <c r="R66" s="20"/>
    </row>
    <row r="67" spans="1:29" x14ac:dyDescent="0.2">
      <c r="I67" s="18"/>
      <c r="J67" s="3" t="s">
        <v>261</v>
      </c>
      <c r="M67" s="24" t="str">
        <f>C13</f>
        <v>Ayana</v>
      </c>
      <c r="N67" s="3" t="s">
        <v>246</v>
      </c>
      <c r="O67" s="11">
        <v>1</v>
      </c>
      <c r="R67" s="20"/>
    </row>
    <row r="68" spans="1:29" x14ac:dyDescent="0.2">
      <c r="B68" s="3" t="s">
        <v>61</v>
      </c>
      <c r="C68" s="65" t="s">
        <v>29</v>
      </c>
      <c r="D68" s="65"/>
      <c r="E68" s="3" t="s">
        <v>48</v>
      </c>
      <c r="F68" s="70" t="str">
        <f>IF(E$8="Mode Poursuite","(Mode Fuite)",IF(E$8="Mode Fuite","(Mode Poursuite)",""))</f>
        <v/>
      </c>
      <c r="G68" s="70"/>
      <c r="I68" s="18"/>
      <c r="J68" s="3" t="s">
        <v>261</v>
      </c>
      <c r="M68" s="24" t="str">
        <f>C66</f>
        <v>Marius</v>
      </c>
      <c r="N68" s="3" t="s">
        <v>246</v>
      </c>
      <c r="O68" s="11">
        <v>2</v>
      </c>
      <c r="R68" s="20"/>
      <c r="T68" s="3" t="str">
        <f>CONCATENATE("Troupes ",C68," : ",P$189," % de pertes",Q189,Q190,Q191,L$184)</f>
        <v>Troupes de Chorrol : 90 % de pertes (Méga Ouch^^)</v>
      </c>
    </row>
    <row r="69" spans="1:29" x14ac:dyDescent="0.2">
      <c r="I69" s="18"/>
      <c r="J69" s="39" t="s">
        <v>274</v>
      </c>
      <c r="K69" s="3" t="str">
        <f>IF(ISODD(G153-G154),"Différence impaire =&gt; Lancer un D2 !","Différence paire, pas de D2 à lancer.")</f>
        <v>Différence impaire =&gt; Lancer un D2 !</v>
      </c>
      <c r="R69" s="20"/>
    </row>
    <row r="70" spans="1:29" x14ac:dyDescent="0.2">
      <c r="B70" s="66" t="s">
        <v>188</v>
      </c>
      <c r="C70" s="66"/>
      <c r="D70" s="66"/>
      <c r="E70" s="66"/>
      <c r="F70" s="66"/>
      <c r="G70" s="66"/>
      <c r="H70" s="66"/>
      <c r="I70" s="18"/>
      <c r="J70" s="3" t="s">
        <v>264</v>
      </c>
      <c r="M70" s="26" t="s">
        <v>229</v>
      </c>
      <c r="R70" s="20"/>
      <c r="T70" s="56" t="str">
        <f>CONCATENATE(B70,L$180)</f>
        <v>1ère Armée d'Auto-Défense</v>
      </c>
    </row>
    <row r="71" spans="1:29" x14ac:dyDescent="0.2">
      <c r="A71" s="3" t="str">
        <f>IF(C71="","","# ")</f>
        <v/>
      </c>
      <c r="B71" s="46"/>
      <c r="C71" s="64"/>
      <c r="D71" s="64"/>
      <c r="E71" s="64"/>
      <c r="F71" s="64"/>
      <c r="G71" s="64"/>
      <c r="H71" s="64"/>
      <c r="I71" s="18"/>
      <c r="J71" s="3" t="str">
        <f>IF(OR(G153=G154,AND(ABS(G153-G154)=1,G155=0)),"Modificateur Stratégique :","Modificateur Stratégique :            +")</f>
        <v>Modificateur Stratégique :            +</v>
      </c>
      <c r="M71" s="24">
        <f>IF(TRUNC(ABS((G153-G154)/2),0)+G155=0,"Égalité",TRUNC(ABS((G153-G154)/2),0)+G155)</f>
        <v>1</v>
      </c>
      <c r="N71" s="3" t="str">
        <f>IF(OR(G153=G154,AND(ABS(G153-G154)=1,G155=0)),"","pour")</f>
        <v>pour</v>
      </c>
      <c r="O71" s="68" t="str">
        <f>IF(OR(G153=G154,AND(ABS(G153-G154)=1,G155=0)),"",IF(G153&gt;G154,C13,C66))</f>
        <v>Marius</v>
      </c>
      <c r="P71" s="68"/>
      <c r="R71" s="20"/>
      <c r="S71" s="3" t="str">
        <f>A71</f>
        <v/>
      </c>
      <c r="T71" s="3">
        <f>B71</f>
        <v>0</v>
      </c>
      <c r="U71" s="3">
        <f>C71</f>
        <v>0</v>
      </c>
    </row>
    <row r="72" spans="1:29" x14ac:dyDescent="0.2">
      <c r="A72" s="3" t="s">
        <v>6</v>
      </c>
      <c r="B72" s="12">
        <v>3750</v>
      </c>
      <c r="C72" s="33" t="s">
        <v>10</v>
      </c>
      <c r="D72" s="3" t="s">
        <v>13</v>
      </c>
      <c r="E72" s="13">
        <f>5*B72</f>
        <v>18750</v>
      </c>
      <c r="F72" s="3" t="s">
        <v>14</v>
      </c>
      <c r="I72" s="18"/>
      <c r="J72" s="2" t="s">
        <v>213</v>
      </c>
      <c r="L72" s="24" t="str">
        <f>IF(OR(O67="",O67="* Définir Niveau *",O68="",O68="* Définir Niveau *"),"Info : Merci de définir le niveau pour chaque Camp.",IF(AND(ISEVEN(G153-G154),M70="Oui"),"Info : La différence étant paire, le bonus du D2 sera ignoré.","Conforme aux Règles du Wargame"))</f>
        <v>Conforme aux Règles du Wargame</v>
      </c>
      <c r="R72" s="20"/>
      <c r="S72" s="3" t="s">
        <v>6</v>
      </c>
      <c r="T72" s="15">
        <f>B72</f>
        <v>3750</v>
      </c>
      <c r="U72" s="31" t="s">
        <v>338</v>
      </c>
      <c r="V72" s="15">
        <f>ROUND(T72*(1-M$189/100),0)</f>
        <v>375</v>
      </c>
      <c r="W72" s="3" t="str">
        <f>C72</f>
        <v>Fantassins</v>
      </c>
      <c r="Y72" s="35" t="s">
        <v>340</v>
      </c>
      <c r="Z72" s="15">
        <f>V72*5</f>
        <v>1875</v>
      </c>
      <c r="AA72" s="3" t="s">
        <v>14</v>
      </c>
    </row>
    <row r="73" spans="1:29" x14ac:dyDescent="0.2">
      <c r="A73" s="3" t="s">
        <v>6</v>
      </c>
      <c r="B73" s="12">
        <v>0</v>
      </c>
      <c r="C73" s="33" t="s">
        <v>11</v>
      </c>
      <c r="D73" s="3" t="s">
        <v>13</v>
      </c>
      <c r="E73" s="13">
        <f>10*B73</f>
        <v>0</v>
      </c>
      <c r="F73" s="3" t="s">
        <v>15</v>
      </c>
      <c r="G73" s="13">
        <f>IF(E$8="Mode Fuite",16*B73,IF(E$8="Mode Poursuite",10*B73,4*B73))</f>
        <v>0</v>
      </c>
      <c r="H73" s="3" t="str">
        <f>IF(E$8="Mode Poursuite","PU en Fuite)",IF(E$8="Mode Fuite","PU en Poursuite)","PU en Siège)"))</f>
        <v>PU en Siège)</v>
      </c>
      <c r="I73" s="18"/>
      <c r="R73" s="20"/>
      <c r="S73" s="3" t="s">
        <v>6</v>
      </c>
      <c r="T73" s="15">
        <f t="shared" ref="T73:T74" si="4">B73</f>
        <v>0</v>
      </c>
      <c r="U73" s="31" t="s">
        <v>338</v>
      </c>
      <c r="V73" s="15">
        <f>ROUND(T73*(1-M$190/100),0)</f>
        <v>0</v>
      </c>
      <c r="W73" s="3" t="str">
        <f>C73</f>
        <v>Cavaliers</v>
      </c>
      <c r="Y73" s="35" t="s">
        <v>340</v>
      </c>
      <c r="Z73" s="15">
        <f>V73*10</f>
        <v>0</v>
      </c>
      <c r="AA73" s="3" t="s">
        <v>15</v>
      </c>
      <c r="AB73" s="15">
        <f>V73*4</f>
        <v>0</v>
      </c>
      <c r="AC73" s="3" t="s">
        <v>16</v>
      </c>
    </row>
    <row r="74" spans="1:29" x14ac:dyDescent="0.2">
      <c r="A74" s="3" t="s">
        <v>6</v>
      </c>
      <c r="B74" s="12">
        <v>3600</v>
      </c>
      <c r="C74" s="33" t="s">
        <v>12</v>
      </c>
      <c r="D74" s="3" t="s">
        <v>13</v>
      </c>
      <c r="E74" s="13">
        <f>5*B74</f>
        <v>18000</v>
      </c>
      <c r="F74" s="3" t="s">
        <v>15</v>
      </c>
      <c r="G74" s="13">
        <f>16*B74</f>
        <v>57600</v>
      </c>
      <c r="H74" s="3" t="s">
        <v>16</v>
      </c>
      <c r="I74" s="19"/>
      <c r="J74" s="32" t="s">
        <v>283</v>
      </c>
      <c r="R74" s="20"/>
      <c r="S74" s="3" t="s">
        <v>6</v>
      </c>
      <c r="T74" s="15">
        <f t="shared" si="4"/>
        <v>3600</v>
      </c>
      <c r="U74" s="31" t="s">
        <v>338</v>
      </c>
      <c r="V74" s="15">
        <f>ROUND(T74*(1-M$191/100),0)</f>
        <v>360</v>
      </c>
      <c r="W74" s="3" t="str">
        <f>C74</f>
        <v>Unités de Siège</v>
      </c>
      <c r="Y74" s="35" t="s">
        <v>340</v>
      </c>
      <c r="Z74" s="15">
        <f>V74*5</f>
        <v>1800</v>
      </c>
      <c r="AA74" s="3" t="s">
        <v>15</v>
      </c>
      <c r="AB74" s="15">
        <f>V74*16</f>
        <v>5760</v>
      </c>
      <c r="AC74" s="3" t="s">
        <v>16</v>
      </c>
    </row>
    <row r="75" spans="1:29" x14ac:dyDescent="0.2">
      <c r="B75" s="67" t="s">
        <v>7</v>
      </c>
      <c r="C75" s="67"/>
      <c r="D75" s="1"/>
      <c r="E75" s="14">
        <f>IF(OR(C68="* Indiquez votre Seigneurie *",C68=""),0,IF(OR(E$8="",E$8="Mode Fuite"),E72+G73+E74,E72+E73+E74))</f>
        <v>36750</v>
      </c>
      <c r="F75" s="1" t="s">
        <v>17</v>
      </c>
      <c r="G75" s="14">
        <f>IF(OR(C68="* Indiquez votre Seigneurie *",C68=""),0,E72+G73+G74)</f>
        <v>76350</v>
      </c>
      <c r="H75" s="1" t="s">
        <v>16</v>
      </c>
      <c r="I75" s="18"/>
      <c r="J75" s="3" t="s">
        <v>276</v>
      </c>
      <c r="L75" s="3">
        <f>SUM(J149:J155)</f>
        <v>13</v>
      </c>
      <c r="N75" s="3" t="s">
        <v>275</v>
      </c>
      <c r="O75" s="68" t="str">
        <f>C13</f>
        <v>Ayana</v>
      </c>
      <c r="P75" s="68"/>
      <c r="R75" s="20"/>
      <c r="T75" s="1" t="s">
        <v>7</v>
      </c>
      <c r="U75" s="3" t="str">
        <f>CONCATENATE(P141," =&gt;")</f>
        <v>36 750 =&gt;</v>
      </c>
      <c r="W75" s="15">
        <f>IF(E75=0,0,Z72+Z73+Z74)</f>
        <v>3675</v>
      </c>
      <c r="X75" s="3" t="s">
        <v>252</v>
      </c>
      <c r="AA75" s="57" t="str">
        <f>CONCATENATE("(",R141," =&gt; ")</f>
        <v xml:space="preserve">(76 350 =&gt; </v>
      </c>
      <c r="AB75" s="15">
        <f>IF(E75=0,0,Z72+AB73+AB74)</f>
        <v>7635</v>
      </c>
      <c r="AC75" s="3" t="s">
        <v>16</v>
      </c>
    </row>
    <row r="76" spans="1:29" x14ac:dyDescent="0.2">
      <c r="I76" s="18"/>
      <c r="J76" s="3" t="s">
        <v>276</v>
      </c>
      <c r="L76" s="3">
        <f>SUM(K149:K155)</f>
        <v>7</v>
      </c>
      <c r="N76" s="3" t="s">
        <v>275</v>
      </c>
      <c r="O76" s="68" t="str">
        <f>C66</f>
        <v>Marius</v>
      </c>
      <c r="P76" s="68"/>
      <c r="R76" s="20"/>
    </row>
    <row r="77" spans="1:29" x14ac:dyDescent="0.2">
      <c r="C77" s="3" t="s">
        <v>8</v>
      </c>
      <c r="E77" s="7">
        <f>IF(E115=0,0,100*E75/E115)</f>
        <v>64.757709251101318</v>
      </c>
      <c r="F77" s="1" t="s">
        <v>22</v>
      </c>
      <c r="I77" s="18"/>
      <c r="J77" s="3" t="str">
        <f>IF(K77="Égalité","Total :","Total :    +")</f>
        <v>Total :    +</v>
      </c>
      <c r="K77" s="24">
        <f>IF(L75=L76,"Égalité",ABS(L75-L76))</f>
        <v>6</v>
      </c>
      <c r="L77" s="3" t="str">
        <f>IF(K77="Égalité","","pour")</f>
        <v>pour</v>
      </c>
      <c r="M77" s="24" t="str">
        <f>IF(K77="Égalité","",IF(L75&gt;L76,C13,C66))</f>
        <v>Ayana</v>
      </c>
      <c r="R77" s="20"/>
    </row>
    <row r="78" spans="1:29" ht="15" thickBot="1" x14ac:dyDescent="0.25">
      <c r="D78" s="7"/>
      <c r="E78" s="1"/>
      <c r="I78" s="20"/>
      <c r="R78" s="20"/>
      <c r="V78" s="7"/>
      <c r="W78" s="1"/>
    </row>
    <row r="79" spans="1:29" x14ac:dyDescent="0.2">
      <c r="A79" s="8"/>
      <c r="B79" s="8"/>
      <c r="C79" s="8"/>
      <c r="D79" s="9"/>
      <c r="E79" s="10"/>
      <c r="F79" s="8"/>
      <c r="G79" s="8"/>
      <c r="H79" s="8"/>
      <c r="I79" s="18"/>
      <c r="J79" s="39" t="s">
        <v>274</v>
      </c>
      <c r="K79" s="4" t="s">
        <v>285</v>
      </c>
      <c r="L79" s="4"/>
      <c r="M79" s="4"/>
      <c r="N79" s="4"/>
      <c r="R79" s="20"/>
      <c r="S79" s="8"/>
      <c r="T79" s="8"/>
      <c r="U79" s="8"/>
      <c r="V79" s="9"/>
      <c r="W79" s="10"/>
      <c r="X79" s="8"/>
      <c r="Y79" s="8"/>
      <c r="Z79" s="8"/>
      <c r="AA79" s="8"/>
      <c r="AB79" s="8"/>
      <c r="AC79" s="8"/>
    </row>
    <row r="80" spans="1:29" x14ac:dyDescent="0.2">
      <c r="A80" s="3" t="s">
        <v>9</v>
      </c>
      <c r="B80" s="3" t="s">
        <v>61</v>
      </c>
      <c r="C80" s="65" t="s">
        <v>25</v>
      </c>
      <c r="D80" s="65"/>
      <c r="E80" s="3" t="s">
        <v>48</v>
      </c>
      <c r="F80" s="70" t="str">
        <f>IF(E$8="Mode Poursuite","(Mode Fuite)",IF(E$8="Mode Fuite","(Mode Poursuite)",""))</f>
        <v/>
      </c>
      <c r="G80" s="70"/>
      <c r="I80" s="18"/>
      <c r="J80" s="3" t="s">
        <v>277</v>
      </c>
      <c r="L80" s="24" t="str">
        <f>C13</f>
        <v>Ayana</v>
      </c>
      <c r="N80" s="3" t="s">
        <v>246</v>
      </c>
      <c r="O80" s="11">
        <v>10</v>
      </c>
      <c r="R80" s="20"/>
      <c r="T80" s="3" t="str">
        <f>CONCATENATE("Troupes ",C80," : ",P$189," % de pertes",Q189,Q190,Q191,L$184)</f>
        <v>Troupes d'Arenthia : 90 % de pertes (Méga Ouch^^)</v>
      </c>
    </row>
    <row r="81" spans="1:29" x14ac:dyDescent="0.2">
      <c r="I81" s="18"/>
      <c r="J81" s="3" t="s">
        <v>277</v>
      </c>
      <c r="L81" s="24" t="str">
        <f>C66</f>
        <v>Marius</v>
      </c>
      <c r="N81" s="3" t="s">
        <v>246</v>
      </c>
      <c r="O81" s="11">
        <v>3</v>
      </c>
      <c r="R81" s="20"/>
    </row>
    <row r="82" spans="1:29" x14ac:dyDescent="0.2">
      <c r="B82" s="66" t="s">
        <v>187</v>
      </c>
      <c r="C82" s="66"/>
      <c r="D82" s="66"/>
      <c r="E82" s="66"/>
      <c r="F82" s="66"/>
      <c r="G82" s="66"/>
      <c r="H82" s="66"/>
      <c r="I82" s="18"/>
      <c r="J82" s="3" t="str">
        <f>IF(L82="Égalité","Différence finale :","Différence finale : +")</f>
        <v>Différence finale : +</v>
      </c>
      <c r="L82" s="3">
        <f>IF(F161=G161,"Égalité",ABS(F161-G161))</f>
        <v>13</v>
      </c>
      <c r="M82" s="3" t="str">
        <f>IF(L82="Égalité","","pour")</f>
        <v>pour</v>
      </c>
      <c r="N82" s="24" t="str">
        <f>IF(F161=G161,"",IF(F161&gt;G161,C13,C66))</f>
        <v>Ayana</v>
      </c>
      <c r="R82" s="20"/>
      <c r="T82" s="56" t="str">
        <f>CONCATENATE(B82,L$180)</f>
        <v>Les Blessures de l'Usurpateur</v>
      </c>
    </row>
    <row r="83" spans="1:29" x14ac:dyDescent="0.2">
      <c r="A83" s="3" t="str">
        <f>IF(C83="","","# ")</f>
        <v xml:space="preserve"># </v>
      </c>
      <c r="B83" s="46" t="s">
        <v>51</v>
      </c>
      <c r="C83" s="64" t="s">
        <v>208</v>
      </c>
      <c r="D83" s="64"/>
      <c r="E83" s="64"/>
      <c r="F83" s="64"/>
      <c r="G83" s="64"/>
      <c r="H83" s="64"/>
      <c r="I83" s="18"/>
      <c r="J83" s="3" t="s">
        <v>319</v>
      </c>
      <c r="M83" s="68" t="str">
        <f>IF(L159="","Pas de fortifications ici.",CONCATENATE(L160," %"))</f>
        <v>10 % de %</v>
      </c>
      <c r="N83" s="68"/>
      <c r="R83" s="20"/>
      <c r="S83" s="3" t="str">
        <f>A83</f>
        <v xml:space="preserve"># </v>
      </c>
      <c r="T83" s="3" t="str">
        <f>B83</f>
        <v xml:space="preserve">Roi </v>
      </c>
      <c r="U83" s="3" t="str">
        <f>C83</f>
        <v>Undolimin</v>
      </c>
    </row>
    <row r="84" spans="1:29" x14ac:dyDescent="0.2">
      <c r="A84" s="3" t="s">
        <v>6</v>
      </c>
      <c r="B84" s="12">
        <v>1000</v>
      </c>
      <c r="C84" s="33" t="s">
        <v>10</v>
      </c>
      <c r="D84" s="3" t="s">
        <v>13</v>
      </c>
      <c r="E84" s="13">
        <f>5*B84</f>
        <v>5000</v>
      </c>
      <c r="F84" s="3" t="s">
        <v>14</v>
      </c>
      <c r="I84" s="18"/>
      <c r="J84" s="2" t="s">
        <v>213</v>
      </c>
      <c r="L84" s="24" t="str">
        <f>IF(NOT(AND(O80&gt;=2,O80&lt;=12,O81&gt;=2,O81&lt;=12)),"Erreur : Merci d'indiquer la valeur du 2D6 de chaque camp !","Conforme aux Règles du Wargame")</f>
        <v>Conforme aux Règles du Wargame</v>
      </c>
      <c r="R84" s="20"/>
      <c r="S84" s="3" t="s">
        <v>6</v>
      </c>
      <c r="T84" s="15">
        <f>B84</f>
        <v>1000</v>
      </c>
      <c r="U84" s="31" t="s">
        <v>338</v>
      </c>
      <c r="V84" s="15">
        <f>ROUND(T84*(1-M$189/100),0)</f>
        <v>100</v>
      </c>
      <c r="W84" s="3" t="str">
        <f>C84</f>
        <v>Fantassins</v>
      </c>
      <c r="Y84" s="35" t="s">
        <v>340</v>
      </c>
      <c r="Z84" s="15">
        <f>V84*5</f>
        <v>500</v>
      </c>
      <c r="AA84" s="3" t="s">
        <v>14</v>
      </c>
    </row>
    <row r="85" spans="1:29" x14ac:dyDescent="0.2">
      <c r="A85" s="3" t="s">
        <v>6</v>
      </c>
      <c r="B85" s="12">
        <v>1000</v>
      </c>
      <c r="C85" s="33" t="s">
        <v>11</v>
      </c>
      <c r="D85" s="3" t="s">
        <v>13</v>
      </c>
      <c r="E85" s="13">
        <f>10*B85</f>
        <v>10000</v>
      </c>
      <c r="F85" s="3" t="s">
        <v>15</v>
      </c>
      <c r="G85" s="13">
        <f>IF(E$8="Mode Fuite",16*B85,IF(E$8="Mode Poursuite",10*B85,4*B85))</f>
        <v>4000</v>
      </c>
      <c r="H85" s="3" t="str">
        <f>IF(E$8="Mode Poursuite","PU en Fuite)",IF(E$8="Mode Fuite","PU en Poursuite)","PU en Siège)"))</f>
        <v>PU en Siège)</v>
      </c>
      <c r="I85" s="18"/>
      <c r="R85" s="20"/>
      <c r="S85" s="3" t="s">
        <v>6</v>
      </c>
      <c r="T85" s="15">
        <f t="shared" ref="T85:T86" si="5">B85</f>
        <v>1000</v>
      </c>
      <c r="U85" s="31" t="s">
        <v>338</v>
      </c>
      <c r="V85" s="15">
        <f>ROUND(T85*(1-M$190/100),0)</f>
        <v>100</v>
      </c>
      <c r="W85" s="3" t="str">
        <f>C85</f>
        <v>Cavaliers</v>
      </c>
      <c r="Y85" s="35" t="s">
        <v>340</v>
      </c>
      <c r="Z85" s="15">
        <f>V85*10</f>
        <v>1000</v>
      </c>
      <c r="AA85" s="3" t="s">
        <v>15</v>
      </c>
      <c r="AB85" s="15">
        <f>V85*4</f>
        <v>400</v>
      </c>
      <c r="AC85" s="3" t="s">
        <v>16</v>
      </c>
    </row>
    <row r="86" spans="1:29" x14ac:dyDescent="0.2">
      <c r="A86" s="3" t="s">
        <v>6</v>
      </c>
      <c r="B86" s="12">
        <v>1000</v>
      </c>
      <c r="C86" s="33" t="s">
        <v>12</v>
      </c>
      <c r="D86" s="3" t="s">
        <v>13</v>
      </c>
      <c r="E86" s="13">
        <f>5*B86</f>
        <v>5000</v>
      </c>
      <c r="F86" s="3" t="s">
        <v>15</v>
      </c>
      <c r="G86" s="13">
        <f>16*B86</f>
        <v>16000</v>
      </c>
      <c r="H86" s="3" t="s">
        <v>16</v>
      </c>
      <c r="I86" s="19"/>
      <c r="J86" s="41" t="s">
        <v>284</v>
      </c>
      <c r="R86" s="20"/>
      <c r="S86" s="3" t="s">
        <v>6</v>
      </c>
      <c r="T86" s="15">
        <f t="shared" si="5"/>
        <v>1000</v>
      </c>
      <c r="U86" s="31" t="s">
        <v>338</v>
      </c>
      <c r="V86" s="15">
        <f>ROUND(T86*(1-M$191/100),0)</f>
        <v>100</v>
      </c>
      <c r="W86" s="3" t="str">
        <f>C86</f>
        <v>Unités de Siège</v>
      </c>
      <c r="Y86" s="35" t="s">
        <v>340</v>
      </c>
      <c r="Z86" s="15">
        <f>V86*5</f>
        <v>500</v>
      </c>
      <c r="AA86" s="3" t="s">
        <v>15</v>
      </c>
      <c r="AB86" s="15">
        <f>V86*16</f>
        <v>1600</v>
      </c>
      <c r="AC86" s="3" t="s">
        <v>16</v>
      </c>
    </row>
    <row r="87" spans="1:29" x14ac:dyDescent="0.2">
      <c r="B87" s="67" t="s">
        <v>7</v>
      </c>
      <c r="C87" s="67"/>
      <c r="D87" s="1"/>
      <c r="E87" s="14">
        <f>IF(OR(C80="* Indiquez votre Seigneurie *",C80=""),0,IF(OR(E$8="",E$8="Mode Fuite"),E84+G85+E86,E84+E85+E86))</f>
        <v>20000</v>
      </c>
      <c r="F87" s="1" t="s">
        <v>17</v>
      </c>
      <c r="G87" s="14">
        <f>IF(OR(C80="* Indiquez votre Seigneurie *",C80=""),0,E84+G85+G86)</f>
        <v>25000</v>
      </c>
      <c r="H87" s="1" t="s">
        <v>16</v>
      </c>
      <c r="I87" s="18"/>
      <c r="R87" s="20"/>
      <c r="T87" s="1" t="s">
        <v>7</v>
      </c>
      <c r="U87" s="3" t="str">
        <f>CONCATENATE(P142," =&gt;")</f>
        <v>20 000 =&gt;</v>
      </c>
      <c r="W87" s="15">
        <f>IF(E87=0,0,Z84+Z85+Z86)</f>
        <v>2000</v>
      </c>
      <c r="X87" s="3" t="s">
        <v>252</v>
      </c>
      <c r="AA87" s="57" t="str">
        <f>CONCATENATE("(",R142," =&gt; ")</f>
        <v xml:space="preserve">(25 000 =&gt; </v>
      </c>
      <c r="AB87" s="15">
        <f>IF(E87=0,0,Z84+AB85+AB86)</f>
        <v>2500</v>
      </c>
      <c r="AC87" s="3" t="s">
        <v>16</v>
      </c>
    </row>
    <row r="88" spans="1:29" x14ac:dyDescent="0.2">
      <c r="I88" s="18"/>
      <c r="J88" s="39" t="s">
        <v>274</v>
      </c>
      <c r="K88" s="4" t="s">
        <v>286</v>
      </c>
      <c r="L88" s="40" t="str">
        <f>IF(OR(L82="Égalité",L82&lt;=3,L82=""),"4 D6",IF(AND(L82&lt;=7,N82=C13),"2 D6",IF(AND(L82&lt;=12,N82=C13),"1 D6",IF(AND(L82&lt;=18,N82=C13),"1 D3",IF(AND(L82&gt;=19,N82=C13),"Aucun dé",IF(AND(L82&lt;=7,N82=C66),"6 D6",IF(AND(L82&lt;=12,N82=C66),"8 D6",IF(AND(L82&lt;=18,N82=C66),"10 D6",IF(AND(19&lt;=L82,N82=C66),"12 D6","Erreur !")))))))))</f>
        <v>1 D3</v>
      </c>
      <c r="M88" s="4" t="s">
        <v>237</v>
      </c>
      <c r="N88" s="4"/>
      <c r="O88" s="71" t="str">
        <f>C13</f>
        <v>Ayana</v>
      </c>
      <c r="P88" s="71"/>
      <c r="R88" s="20"/>
    </row>
    <row r="89" spans="1:29" x14ac:dyDescent="0.2">
      <c r="C89" s="3" t="s">
        <v>8</v>
      </c>
      <c r="E89" s="7">
        <f>IF(E115=0,0,100*E87/E115)</f>
        <v>35.242290748898675</v>
      </c>
      <c r="F89" s="1" t="s">
        <v>22</v>
      </c>
      <c r="I89" s="18"/>
      <c r="K89" s="4" t="s">
        <v>286</v>
      </c>
      <c r="L89" s="40" t="str">
        <f>IF(OR(L82="Égalité",L82&lt;=3,L82=""),"4 D6",IF(AND(L82&lt;=7,N82=C66),"2 D6",IF(AND(L82&lt;=12,N82=C66),"1 D6",IF(AND(L82&lt;=18,N82=C66),"1 D3",IF(AND(L82&gt;=19,N82=C66),"Aucun dé",IF(AND(L82&lt;=7,N82=C13),"6 D6",IF(AND(L82&lt;=12,N82=C13),"8 D6",IF(AND(L82&lt;=18,N82=C13),"10 D6",IF(AND(19&lt;=L82,N82=C13),"12 D6","Erreur !")))))))))</f>
        <v>10 D6</v>
      </c>
      <c r="M89" s="4" t="s">
        <v>237</v>
      </c>
      <c r="N89" s="4"/>
      <c r="O89" s="71" t="str">
        <f>C66</f>
        <v>Marius</v>
      </c>
      <c r="P89" s="71"/>
      <c r="R89" s="20"/>
    </row>
    <row r="90" spans="1:29" ht="15" thickBot="1" x14ac:dyDescent="0.25">
      <c r="D90" s="7"/>
      <c r="E90" s="1"/>
      <c r="I90" s="20"/>
      <c r="J90" s="3" t="s">
        <v>287</v>
      </c>
      <c r="M90" s="42" t="str">
        <f>C13</f>
        <v>Ayana</v>
      </c>
      <c r="N90" s="3" t="s">
        <v>246</v>
      </c>
      <c r="O90" s="11">
        <v>2</v>
      </c>
      <c r="R90" s="20"/>
      <c r="V90" s="7"/>
      <c r="W90" s="1"/>
    </row>
    <row r="91" spans="1:29" x14ac:dyDescent="0.2">
      <c r="A91" s="8"/>
      <c r="B91" s="8"/>
      <c r="C91" s="8"/>
      <c r="D91" s="9"/>
      <c r="E91" s="10"/>
      <c r="F91" s="8"/>
      <c r="G91" s="8"/>
      <c r="H91" s="8"/>
      <c r="I91" s="18"/>
      <c r="J91" s="3" t="s">
        <v>287</v>
      </c>
      <c r="M91" s="42" t="str">
        <f>C66</f>
        <v>Marius</v>
      </c>
      <c r="N91" s="3" t="s">
        <v>246</v>
      </c>
      <c r="O91" s="11">
        <v>50</v>
      </c>
      <c r="R91" s="20"/>
      <c r="S91" s="8"/>
      <c r="T91" s="8"/>
      <c r="U91" s="8"/>
      <c r="V91" s="9"/>
      <c r="W91" s="10"/>
      <c r="X91" s="8"/>
      <c r="Y91" s="8"/>
      <c r="Z91" s="8"/>
      <c r="AA91" s="8"/>
      <c r="AB91" s="8"/>
      <c r="AC91" s="8"/>
    </row>
    <row r="92" spans="1:29" x14ac:dyDescent="0.2">
      <c r="A92" s="3" t="s">
        <v>9</v>
      </c>
      <c r="B92" s="3" t="s">
        <v>61</v>
      </c>
      <c r="C92" s="65" t="s">
        <v>23</v>
      </c>
      <c r="D92" s="65"/>
      <c r="E92" s="3" t="s">
        <v>48</v>
      </c>
      <c r="F92" s="70" t="str">
        <f>IF(E$8="Mode Poursuite","(Mode Fuite)",IF(E$8="Mode Fuite","(Mode Poursuite)",""))</f>
        <v/>
      </c>
      <c r="G92" s="70"/>
      <c r="I92" s="18"/>
      <c r="J92" s="2" t="s">
        <v>213</v>
      </c>
      <c r="R92" s="20"/>
      <c r="T92" s="3" t="str">
        <f>CONCATENATE("Troupes ",C92," : ",P$189," % de pertes",Q189,Q190,Q191,L$184)</f>
        <v>Troupes * Indiquez votre Seigneurie * : 90 % de pertes (Méga Ouch^^)</v>
      </c>
    </row>
    <row r="93" spans="1:29" x14ac:dyDescent="0.2">
      <c r="I93" s="18"/>
      <c r="J93" s="68" t="str">
        <f>IF(J163="Test1Err","Erreur : Veuillez renseigner la valeur du jet de pertes pour chaque camp !",IF(J164="Test2Err","Erreur : la valeur du jet du Camp 1 est trop faible par rapport aux dés lancés !",IF(J165="Test3Err","Erreur : la valeur du jet du Camp 2 est trop faible par rapport aux dés lancés !",IF(G167="Test4Err","Erreur : la valeur du jet du Camp 1 est trop élévée par rapport aux dés lancés !",IF(G168="Test5Err","Erreur : la valeur du jet du Camp 2 est trop élévée par rapport aux dés lancés !","Conforme aux Règles du Wargame")))))</f>
        <v>Conforme aux Règles du Wargame</v>
      </c>
      <c r="K93" s="68"/>
      <c r="L93" s="68"/>
      <c r="M93" s="68"/>
      <c r="N93" s="68"/>
      <c r="O93" s="68"/>
      <c r="P93" s="68"/>
      <c r="R93" s="20"/>
    </row>
    <row r="94" spans="1:29" x14ac:dyDescent="0.2">
      <c r="B94" s="66" t="s">
        <v>5</v>
      </c>
      <c r="C94" s="66"/>
      <c r="D94" s="66"/>
      <c r="E94" s="66"/>
      <c r="F94" s="66"/>
      <c r="G94" s="66"/>
      <c r="H94" s="66"/>
      <c r="I94" s="18"/>
      <c r="J94" s="3" t="s">
        <v>305</v>
      </c>
      <c r="M94" s="42" t="str">
        <f>C13</f>
        <v>Ayana</v>
      </c>
      <c r="N94" s="3" t="s">
        <v>246</v>
      </c>
      <c r="O94" s="44">
        <f>IF(OR(L82="Égalité",L82&lt;=1,L82=""),10+O90,IF(AND(L82&lt;=3,N82=C13),5+O90,IF(AND(L82&lt;=5,N82=C13),8+O90,IF(AND(L82&lt;=7,N82=C13),4+O90,IF(AND(L82&lt;=9,N82=C13),4+O90,IF(AND(L82&lt;=11,N82=C13),2+O90,IF(AND(L82=12,N82=C13),1+O90,IF(AND(L82&lt;=14,N82=C13),1+O90,IF(AND(L82&lt;=16,N82=C13),O90,IF(AND(L82&lt;=18,N82=C13),O90/2,IF(AND(L82&gt;=19,N82=C13),0,IF(AND(L82&lt;=3,N82=C66),15+O90,IF(AND(L82&lt;=5,N82=C66),14+O90,IF(AND(L82&lt;=7,N82=C66),20+O90,IF(AND(L82&lt;=9,N82=C66),21+O90,IF(AND(L82&lt;=11,N82=C66),30+O90,IF(AND(L82=12,N82=C66),35+O90,IF(AND(L82&lt;=14,N82=C66),40+O90,IF(AND(L82&lt;=16,N82=C66),46+O90,IF(AND(L82&lt;=18,N82=C66),55+O90,IF(AND(L82&gt;=19,N82=C66),60+O90,"Erreur !")))))))))))))))))))))</f>
        <v>3</v>
      </c>
      <c r="P94" s="3" t="s">
        <v>22</v>
      </c>
      <c r="R94" s="20"/>
      <c r="T94" s="56" t="str">
        <f>CONCATENATE(B94,L$180)</f>
        <v>Nom de l'armée</v>
      </c>
    </row>
    <row r="95" spans="1:29" x14ac:dyDescent="0.2">
      <c r="A95" s="3" t="str">
        <f>IF(C95="","","# ")</f>
        <v xml:space="preserve"># </v>
      </c>
      <c r="B95" s="46" t="s">
        <v>182</v>
      </c>
      <c r="C95" s="64" t="s">
        <v>21</v>
      </c>
      <c r="D95" s="64"/>
      <c r="E95" s="64"/>
      <c r="F95" s="64"/>
      <c r="G95" s="64"/>
      <c r="H95" s="64"/>
      <c r="I95" s="18"/>
      <c r="J95" s="3" t="s">
        <v>305</v>
      </c>
      <c r="M95" s="42" t="str">
        <f>C66</f>
        <v>Marius</v>
      </c>
      <c r="N95" s="3" t="s">
        <v>246</v>
      </c>
      <c r="O95" s="44">
        <f>IF(OR(L82="Égalité",L82&lt;=1,L82=""),10+O91,IF(AND(L82&lt;=3,N82=C66),5+O91,IF(AND(L82&lt;=5,N82=C66),8+O91,IF(AND(L82&lt;=7,N82=C66),4+O91,IF(AND(L82&lt;=9,N82=C66),4+O91,IF(AND(L82&lt;=11,N82=C66),2+O91,IF(AND(L82=12,N82=C66),1+O91,IF(AND(L82&lt;=14,N82=C66),1+O91,IF(AND(L82&lt;=16,N82=C66),O91,IF(AND(L82&lt;=18,N82=C66),O91/2,IF(AND(L82&gt;=19,N82=C66),0,IF(AND(L82&lt;=3,N82=C13),15+O91,IF(AND(L82&lt;=5,N82=C13),14+O91,IF(AND(L82&lt;=7,N82=C13),20+O91,IF(AND(L82&lt;=9,N82=C13),21+O91,IF(AND(L82&lt;=11,N82=C13),30+O91,IF(AND(L82=12,N82=C13),35+O91,IF(AND(L82&lt;=14,N82=C13),40+O91,IF(AND(L82&lt;=16,N82=C13),46+O91,IF(AND(L82&lt;=18,N82=C13),55+O91,IF(AND(L82&gt;=19,N82=C13),60+O91,"Erreur !")))))))))))))))))))))</f>
        <v>90</v>
      </c>
      <c r="P95" s="3" t="s">
        <v>22</v>
      </c>
      <c r="R95" s="20"/>
      <c r="S95" s="3" t="str">
        <f>A95</f>
        <v xml:space="preserve"># </v>
      </c>
      <c r="T95" s="3" t="str">
        <f>B95</f>
        <v>* Rang PJ *</v>
      </c>
      <c r="U95" s="3" t="str">
        <f>C95</f>
        <v>Indiquez la présence de vos Seigneurs ici</v>
      </c>
    </row>
    <row r="96" spans="1:29" x14ac:dyDescent="0.2">
      <c r="A96" s="3" t="s">
        <v>6</v>
      </c>
      <c r="B96" s="12">
        <v>1000</v>
      </c>
      <c r="C96" s="33" t="s">
        <v>10</v>
      </c>
      <c r="D96" s="3" t="s">
        <v>13</v>
      </c>
      <c r="E96" s="13">
        <f>5*B96</f>
        <v>5000</v>
      </c>
      <c r="F96" s="3" t="s">
        <v>14</v>
      </c>
      <c r="I96" s="18"/>
      <c r="R96" s="20"/>
      <c r="S96" s="3" t="s">
        <v>6</v>
      </c>
      <c r="T96" s="15">
        <f>B96</f>
        <v>1000</v>
      </c>
      <c r="U96" s="31" t="s">
        <v>338</v>
      </c>
      <c r="V96" s="15">
        <f>ROUND(T96*(1-M$189/100),0)</f>
        <v>100</v>
      </c>
      <c r="W96" s="3" t="str">
        <f>C96</f>
        <v>Fantassins</v>
      </c>
      <c r="Y96" s="35" t="s">
        <v>340</v>
      </c>
      <c r="Z96" s="15">
        <f>V96*5</f>
        <v>500</v>
      </c>
      <c r="AA96" s="3" t="s">
        <v>14</v>
      </c>
    </row>
    <row r="97" spans="1:29" ht="15" thickBot="1" x14ac:dyDescent="0.25">
      <c r="A97" s="3" t="s">
        <v>6</v>
      </c>
      <c r="B97" s="12">
        <v>1000</v>
      </c>
      <c r="C97" s="33" t="s">
        <v>11</v>
      </c>
      <c r="D97" s="3" t="s">
        <v>13</v>
      </c>
      <c r="E97" s="13">
        <f>10*B97</f>
        <v>10000</v>
      </c>
      <c r="F97" s="3" t="s">
        <v>15</v>
      </c>
      <c r="G97" s="13">
        <f>IF(E$8="Mode Fuite",16*B97,IF(E$8="Mode Poursuite",10*B97,4*B97))</f>
        <v>4000</v>
      </c>
      <c r="H97" s="3" t="str">
        <f>IF(E$8="Mode Poursuite","PU en Fuite)",IF(E$8="Mode Fuite","PU en Poursuite)","PU en Siège)"))</f>
        <v>PU en Siège)</v>
      </c>
      <c r="I97" s="18"/>
      <c r="J97" s="49" t="s">
        <v>333</v>
      </c>
      <c r="K97" s="50"/>
      <c r="L97" s="50"/>
      <c r="M97" s="50"/>
      <c r="N97" s="50"/>
      <c r="O97" s="50"/>
      <c r="P97" s="50"/>
      <c r="Q97" s="50"/>
      <c r="R97" s="20"/>
      <c r="S97" s="3" t="s">
        <v>6</v>
      </c>
      <c r="T97" s="15">
        <f t="shared" ref="T97:T98" si="6">B97</f>
        <v>1000</v>
      </c>
      <c r="U97" s="31" t="s">
        <v>338</v>
      </c>
      <c r="V97" s="15">
        <f>ROUND(T97*(1-M$190/100),0)</f>
        <v>100</v>
      </c>
      <c r="W97" s="3" t="str">
        <f>C97</f>
        <v>Cavaliers</v>
      </c>
      <c r="Y97" s="35" t="s">
        <v>340</v>
      </c>
      <c r="Z97" s="15">
        <f>V97*10</f>
        <v>1000</v>
      </c>
      <c r="AA97" s="3" t="s">
        <v>15</v>
      </c>
      <c r="AB97" s="15">
        <f>V97*4</f>
        <v>400</v>
      </c>
      <c r="AC97" s="3" t="s">
        <v>16</v>
      </c>
    </row>
    <row r="98" spans="1:29" x14ac:dyDescent="0.2">
      <c r="A98" s="3" t="s">
        <v>6</v>
      </c>
      <c r="B98" s="12">
        <v>1000</v>
      </c>
      <c r="C98" s="33" t="s">
        <v>12</v>
      </c>
      <c r="D98" s="3" t="s">
        <v>13</v>
      </c>
      <c r="E98" s="13">
        <f>5*B98</f>
        <v>5000</v>
      </c>
      <c r="F98" s="3" t="s">
        <v>15</v>
      </c>
      <c r="G98" s="13">
        <f>16*B98</f>
        <v>16000</v>
      </c>
      <c r="H98" s="3" t="s">
        <v>16</v>
      </c>
      <c r="I98" s="19"/>
      <c r="J98" s="47" t="s">
        <v>306</v>
      </c>
      <c r="R98" s="20"/>
      <c r="S98" s="3" t="s">
        <v>6</v>
      </c>
      <c r="T98" s="15">
        <f t="shared" si="6"/>
        <v>1000</v>
      </c>
      <c r="U98" s="31" t="s">
        <v>338</v>
      </c>
      <c r="V98" s="15">
        <f>ROUND(T98*(1-M$191/100),0)</f>
        <v>100</v>
      </c>
      <c r="W98" s="3" t="str">
        <f>C98</f>
        <v>Unités de Siège</v>
      </c>
      <c r="Y98" s="35" t="s">
        <v>340</v>
      </c>
      <c r="Z98" s="15">
        <f>V98*5</f>
        <v>500</v>
      </c>
      <c r="AA98" s="3" t="s">
        <v>15</v>
      </c>
      <c r="AB98" s="15">
        <f>V98*16</f>
        <v>1600</v>
      </c>
      <c r="AC98" s="3" t="s">
        <v>16</v>
      </c>
    </row>
    <row r="99" spans="1:29" x14ac:dyDescent="0.2">
      <c r="B99" s="67" t="s">
        <v>7</v>
      </c>
      <c r="C99" s="67"/>
      <c r="D99" s="1"/>
      <c r="E99" s="14">
        <f>IF(OR(C92="* Indiquez votre Seigneurie *",C92=""),0,IF(OR(E$8="",E$8="Mode Fuite"),E96+G97+E98,E96+E97+E98))</f>
        <v>0</v>
      </c>
      <c r="F99" s="1" t="s">
        <v>17</v>
      </c>
      <c r="G99" s="14">
        <f>IF(OR(C92="* Indiquez votre Seigneurie *",C92=""),0,E96+G97+G98)</f>
        <v>0</v>
      </c>
      <c r="H99" s="1" t="s">
        <v>16</v>
      </c>
      <c r="I99" s="18"/>
      <c r="R99" s="20"/>
      <c r="T99" s="1" t="s">
        <v>7</v>
      </c>
      <c r="U99" s="3" t="str">
        <f>CONCATENATE(P143," =&gt;")</f>
        <v>0 =&gt;</v>
      </c>
      <c r="W99" s="15">
        <f>IF(E99=0,0,Z96+Z97+Z98)</f>
        <v>0</v>
      </c>
      <c r="X99" s="3" t="s">
        <v>252</v>
      </c>
      <c r="AA99" s="57" t="str">
        <f>CONCATENATE("(",R143," =&gt; ")</f>
        <v xml:space="preserve">(0 =&gt; </v>
      </c>
      <c r="AB99" s="15">
        <f>IF(E99=0,0,Z96+AB97+AB98)</f>
        <v>0</v>
      </c>
      <c r="AC99" s="3" t="s">
        <v>16</v>
      </c>
    </row>
    <row r="100" spans="1:29" x14ac:dyDescent="0.2">
      <c r="I100" s="18"/>
      <c r="J100" s="3" t="str">
        <f>CONCATENATE("• Modif de ratio : ",N141," / ",N142," = ",N143," =&gt; ",N148,O22,O148,M22)</f>
        <v>• Modif de ratio : 168 457 / 101 350 = 1,66 =&gt; +2 pour Ayana</v>
      </c>
      <c r="R100" s="20"/>
    </row>
    <row r="101" spans="1:29" x14ac:dyDescent="0.2">
      <c r="C101" s="3" t="s">
        <v>8</v>
      </c>
      <c r="E101" s="7">
        <f>IF(E115=0,0,100*E99/E115)</f>
        <v>0</v>
      </c>
      <c r="F101" s="1" t="s">
        <v>22</v>
      </c>
      <c r="I101" s="18"/>
      <c r="J101" s="3" t="str">
        <f>CONCATENATE("• Modif RP : ",N149," pour ",C13,", ",N150," pour ",C66," =&gt; ",N151,O151,O37)</f>
        <v>• Modif RP : +8 pour Ayana, +4 pour Marius =&gt; +4 pour Ayana</v>
      </c>
      <c r="R101" s="20"/>
    </row>
    <row r="102" spans="1:29" ht="15" thickBot="1" x14ac:dyDescent="0.25">
      <c r="D102" s="7"/>
      <c r="E102" s="1"/>
      <c r="I102" s="20"/>
      <c r="J102" s="3" t="str">
        <f>IF(J56="Bonus de Combat à Domicile de +",CONCATENATE("• Bonus Combat à domicile pour le camp de ",C13," =&gt; +1 pour ",C13),"•")</f>
        <v>• Bonus Combat à domicile pour le camp de Ayana =&gt; +1 pour Ayana</v>
      </c>
      <c r="R102" s="20"/>
      <c r="V102" s="7"/>
      <c r="W102" s="1"/>
    </row>
    <row r="103" spans="1:29" x14ac:dyDescent="0.2">
      <c r="A103" s="8"/>
      <c r="B103" s="8"/>
      <c r="C103" s="8"/>
      <c r="D103" s="9"/>
      <c r="E103" s="10"/>
      <c r="F103" s="8"/>
      <c r="G103" s="8"/>
      <c r="H103" s="8"/>
      <c r="I103" s="18"/>
      <c r="J103" s="3" t="str">
        <f>IF(J57="Bonus de Combat à Domicile de +",CONCATENATE("• Bonus Combat à domicile pour le camp de ",C66," =&gt; +1 pour ",C66),"•")</f>
        <v>• Bonus Combat à domicile pour le camp de Marius =&gt; +1 pour Marius</v>
      </c>
      <c r="R103" s="20"/>
      <c r="S103" s="8"/>
      <c r="T103" s="8"/>
      <c r="U103" s="8"/>
      <c r="V103" s="9"/>
      <c r="W103" s="10"/>
      <c r="X103" s="8"/>
      <c r="Y103" s="8"/>
      <c r="Z103" s="8"/>
      <c r="AA103" s="8"/>
      <c r="AB103" s="8"/>
      <c r="AC103" s="8"/>
    </row>
    <row r="104" spans="1:29" x14ac:dyDescent="0.2">
      <c r="A104" s="3" t="s">
        <v>9</v>
      </c>
      <c r="B104" s="3" t="s">
        <v>61</v>
      </c>
      <c r="C104" s="65" t="s">
        <v>23</v>
      </c>
      <c r="D104" s="65"/>
      <c r="E104" s="3" t="s">
        <v>48</v>
      </c>
      <c r="F104" s="70" t="str">
        <f>IF(E$8="Mode Poursuite","(Mode Fuite)",IF(E$8="Mode Fuite","(Mode Poursuite)",""))</f>
        <v/>
      </c>
      <c r="G104" s="70"/>
      <c r="I104" s="18"/>
      <c r="J104" s="3" t="str">
        <f>IF(J48="Aucun Bonus de","•",CONCATENATE("• Bonus de Charisme pour le camp de ",C13," =&gt; +",M48," pour ",C13))</f>
        <v>• Bonus de Charisme pour le camp de Ayana =&gt; +2 pour Ayana</v>
      </c>
      <c r="R104" s="20"/>
      <c r="T104" s="3" t="str">
        <f>CONCATENATE("Troupes ",C104," : ",P$189," % de pertes",Q189,Q190,Q191,L$184)</f>
        <v>Troupes * Indiquez votre Seigneurie * : 90 % de pertes (Méga Ouch^^)</v>
      </c>
    </row>
    <row r="105" spans="1:29" x14ac:dyDescent="0.2">
      <c r="I105" s="18"/>
      <c r="J105" s="3" t="str">
        <f>IF(J49="Aucun Bonus de","•",CONCATENATE("• Bonus de Charisme pour le camp de ",C66," =&gt; +",M49," pour ",C66))</f>
        <v>• Bonus de Charisme pour le camp de Marius =&gt; +2 pour Marius</v>
      </c>
      <c r="R105" s="20"/>
    </row>
    <row r="106" spans="1:29" x14ac:dyDescent="0.2">
      <c r="B106" s="66" t="s">
        <v>5</v>
      </c>
      <c r="C106" s="66"/>
      <c r="D106" s="66"/>
      <c r="E106" s="66"/>
      <c r="F106" s="66"/>
      <c r="G106" s="66"/>
      <c r="H106" s="66"/>
      <c r="I106" s="18"/>
      <c r="J106" s="3" t="str">
        <f>IF(L45=0,"•",CONCATENATE("• Bonus de Murs pour le camp de ",C66," =&gt; +",L45," pour ",C66))</f>
        <v>• Bonus de Murs pour le camp de Marius =&gt; +2 pour Marius</v>
      </c>
      <c r="R106" s="20"/>
      <c r="T106" s="56" t="str">
        <f>CONCATENATE(B106,L$180)</f>
        <v>Nom de l'armée</v>
      </c>
    </row>
    <row r="107" spans="1:29" x14ac:dyDescent="0.2">
      <c r="A107" s="3" t="str">
        <f>IF(C107="","","# ")</f>
        <v xml:space="preserve"># </v>
      </c>
      <c r="B107" s="46" t="s">
        <v>182</v>
      </c>
      <c r="C107" s="64" t="s">
        <v>21</v>
      </c>
      <c r="D107" s="64"/>
      <c r="E107" s="64"/>
      <c r="F107" s="64"/>
      <c r="G107" s="64"/>
      <c r="H107" s="64"/>
      <c r="I107" s="18"/>
      <c r="J107" s="3" t="str">
        <f>IF(J62="Malus de Moral de",CONCATENATE("• Malus de Moral contre le camp de ",C13," =&gt; ",L62," contre ",C13),"•")</f>
        <v>•</v>
      </c>
      <c r="R107" s="20"/>
      <c r="S107" s="3" t="str">
        <f>A107</f>
        <v xml:space="preserve"># </v>
      </c>
      <c r="T107" s="3" t="str">
        <f>B107</f>
        <v>* Rang PJ *</v>
      </c>
      <c r="U107" s="3" t="str">
        <f>C107</f>
        <v>Indiquez la présence de vos Seigneurs ici</v>
      </c>
    </row>
    <row r="108" spans="1:29" x14ac:dyDescent="0.2">
      <c r="A108" s="3" t="s">
        <v>6</v>
      </c>
      <c r="B108" s="12">
        <v>1000</v>
      </c>
      <c r="C108" s="33" t="s">
        <v>10</v>
      </c>
      <c r="D108" s="3" t="s">
        <v>13</v>
      </c>
      <c r="E108" s="13">
        <f>5*B108</f>
        <v>5000</v>
      </c>
      <c r="F108" s="3" t="s">
        <v>14</v>
      </c>
      <c r="I108" s="18"/>
      <c r="J108" s="3" t="str">
        <f>IF(J63="Malus de Moral de",CONCATENATE("• Malus de Moral contre le camp de ",C66," =&gt; ",L63," contre ",C66),"•")</f>
        <v>• Malus de Moral contre le camp de Marius =&gt; -3 contre Marius</v>
      </c>
      <c r="R108" s="20"/>
      <c r="S108" s="3" t="s">
        <v>6</v>
      </c>
      <c r="T108" s="15">
        <f>B108</f>
        <v>1000</v>
      </c>
      <c r="U108" s="31" t="s">
        <v>338</v>
      </c>
      <c r="V108" s="15">
        <f>ROUND(T108*(1-M$189/100),0)</f>
        <v>100</v>
      </c>
      <c r="W108" s="3" t="str">
        <f>C108</f>
        <v>Fantassins</v>
      </c>
      <c r="Y108" s="35" t="s">
        <v>340</v>
      </c>
      <c r="Z108" s="15">
        <f>V108*5</f>
        <v>500</v>
      </c>
      <c r="AA108" s="3" t="s">
        <v>14</v>
      </c>
    </row>
    <row r="109" spans="1:29" x14ac:dyDescent="0.2">
      <c r="A109" s="3" t="s">
        <v>6</v>
      </c>
      <c r="B109" s="12">
        <v>1000</v>
      </c>
      <c r="C109" s="33" t="s">
        <v>11</v>
      </c>
      <c r="D109" s="3" t="s">
        <v>13</v>
      </c>
      <c r="E109" s="13">
        <f>10*B109</f>
        <v>10000</v>
      </c>
      <c r="F109" s="3" t="s">
        <v>15</v>
      </c>
      <c r="G109" s="13">
        <f>IF(E$8="Mode Fuite",16*B109,IF(E$8="Mode Poursuite",10*B109,4*B109))</f>
        <v>4000</v>
      </c>
      <c r="H109" s="3" t="str">
        <f>IF(E$8="Mode Poursuite","PU en Fuite)",IF(E$8="Mode Fuite","PU en Poursuite)","PU en Siège)"))</f>
        <v>PU en Siège)</v>
      </c>
      <c r="I109" s="18"/>
      <c r="J109" s="3" t="str">
        <f>CONCATENATE("• Modificateur stratégique : ",O67," pour ",C13,N152,", ",O68," pour ",C66,N153," =&gt; ",N154)</f>
        <v>• Modificateur stratégique : 1 pour Ayana, 2 pour Marius et réussite sur son D2 =&gt; +1 pour Marius</v>
      </c>
      <c r="R109" s="20"/>
      <c r="S109" s="3" t="s">
        <v>6</v>
      </c>
      <c r="T109" s="15">
        <f t="shared" ref="T109:T110" si="7">B109</f>
        <v>1000</v>
      </c>
      <c r="U109" s="31" t="s">
        <v>338</v>
      </c>
      <c r="V109" s="15">
        <f>ROUND(T109*(1-M$190/100),0)</f>
        <v>100</v>
      </c>
      <c r="W109" s="3" t="str">
        <f>C109</f>
        <v>Cavaliers</v>
      </c>
      <c r="Y109" s="35" t="s">
        <v>340</v>
      </c>
      <c r="Z109" s="15">
        <f>V109*10</f>
        <v>1000</v>
      </c>
      <c r="AA109" s="3" t="s">
        <v>15</v>
      </c>
      <c r="AB109" s="15">
        <f>V109*4</f>
        <v>400</v>
      </c>
      <c r="AC109" s="3" t="s">
        <v>16</v>
      </c>
    </row>
    <row r="110" spans="1:29" x14ac:dyDescent="0.2">
      <c r="A110" s="3" t="s">
        <v>6</v>
      </c>
      <c r="B110" s="12">
        <v>1000</v>
      </c>
      <c r="C110" s="33" t="s">
        <v>12</v>
      </c>
      <c r="D110" s="3" t="s">
        <v>13</v>
      </c>
      <c r="E110" s="13">
        <f>5*B110</f>
        <v>5000</v>
      </c>
      <c r="F110" s="3" t="s">
        <v>15</v>
      </c>
      <c r="G110" s="13">
        <f>16*B110</f>
        <v>16000</v>
      </c>
      <c r="H110" s="3" t="s">
        <v>16</v>
      </c>
      <c r="I110" s="19"/>
      <c r="J110" s="1" t="s">
        <v>7</v>
      </c>
      <c r="K110" s="3" t="str">
        <f>CONCATENATE(N155,M77)</f>
        <v>+6 pour Ayana</v>
      </c>
      <c r="R110" s="20"/>
      <c r="S110" s="3" t="s">
        <v>6</v>
      </c>
      <c r="T110" s="15">
        <f t="shared" si="7"/>
        <v>1000</v>
      </c>
      <c r="U110" s="31" t="s">
        <v>338</v>
      </c>
      <c r="V110" s="15">
        <f>ROUND(T110*(1-M$191/100),0)</f>
        <v>100</v>
      </c>
      <c r="W110" s="3" t="str">
        <f>C110</f>
        <v>Unités de Siège</v>
      </c>
      <c r="Y110" s="35" t="s">
        <v>340</v>
      </c>
      <c r="Z110" s="15">
        <f>V110*5</f>
        <v>500</v>
      </c>
      <c r="AA110" s="3" t="s">
        <v>15</v>
      </c>
      <c r="AB110" s="15">
        <f>V110*16</f>
        <v>1600</v>
      </c>
      <c r="AC110" s="3" t="s">
        <v>16</v>
      </c>
    </row>
    <row r="111" spans="1:29" x14ac:dyDescent="0.2">
      <c r="B111" s="67" t="s">
        <v>7</v>
      </c>
      <c r="C111" s="67"/>
      <c r="D111" s="1"/>
      <c r="E111" s="14">
        <f>IF(OR(C104="* Indiquez votre Seigneurie *",C104=""),0,IF(OR(E$8="",E$8="Mode Fuite"),E108+G109+E110,E108+E109+E110))</f>
        <v>0</v>
      </c>
      <c r="F111" s="1" t="s">
        <v>17</v>
      </c>
      <c r="G111" s="14">
        <f>IF(OR(C104="* Indiquez votre Seigneurie *",C104=""),0,E108+G109+G110)</f>
        <v>0</v>
      </c>
      <c r="H111" s="1" t="s">
        <v>16</v>
      </c>
      <c r="I111" s="18"/>
      <c r="R111" s="20"/>
      <c r="T111" s="1" t="s">
        <v>7</v>
      </c>
      <c r="U111" s="3" t="str">
        <f>CONCATENATE(P144," =&gt;")</f>
        <v>0 =&gt;</v>
      </c>
      <c r="W111" s="15">
        <f>IF(E111=0,0,Z108+Z109+Z110)</f>
        <v>0</v>
      </c>
      <c r="X111" s="3" t="s">
        <v>252</v>
      </c>
      <c r="AA111" s="57" t="str">
        <f>CONCATENATE("(",R144," =&gt; ")</f>
        <v xml:space="preserve">(0 =&gt; </v>
      </c>
      <c r="AB111" s="15">
        <f>IF(E111=0,0,Z108+AB109+AB110)</f>
        <v>0</v>
      </c>
      <c r="AC111" s="3" t="s">
        <v>16</v>
      </c>
    </row>
    <row r="112" spans="1:29" x14ac:dyDescent="0.2">
      <c r="I112" s="18"/>
      <c r="J112" s="1" t="s">
        <v>307</v>
      </c>
      <c r="R112" s="20"/>
    </row>
    <row r="113" spans="1:29" x14ac:dyDescent="0.2">
      <c r="C113" s="3" t="s">
        <v>8</v>
      </c>
      <c r="E113" s="7">
        <f>IF(E115=0,0,100*E111/E115)</f>
        <v>0</v>
      </c>
      <c r="F113" s="1" t="s">
        <v>22</v>
      </c>
      <c r="I113" s="18"/>
      <c r="R113" s="20"/>
    </row>
    <row r="114" spans="1:29" x14ac:dyDescent="0.2">
      <c r="I114" s="18"/>
      <c r="J114" s="3" t="str">
        <f>CONCATENATE(O80," pour ",C13,H157,", ",O81," pour ",C66,H158," =&gt; ",H160,H161)</f>
        <v>10 pour Ayana (Lancé chanceux^^), 3 pour Marius (Lancé très foireux^^) =&gt; +7 pour Ayana</v>
      </c>
      <c r="R114" s="20"/>
    </row>
    <row r="115" spans="1:29" ht="15" thickBot="1" x14ac:dyDescent="0.25">
      <c r="C115" s="3" t="s">
        <v>19</v>
      </c>
      <c r="E115" s="13">
        <f>E75+E87+E99+E111</f>
        <v>56750</v>
      </c>
      <c r="F115" s="3" t="s">
        <v>17</v>
      </c>
      <c r="G115" s="13">
        <f>G75+G87+G99+G111</f>
        <v>101350</v>
      </c>
      <c r="H115" s="3" t="s">
        <v>16</v>
      </c>
      <c r="I115" s="18"/>
      <c r="J115" s="3" t="str">
        <f>CONCATENATE("Différence finale : ",I159,N157)</f>
        <v>Différence finale : +13 pour Ayana (Méga Ouch^^)</v>
      </c>
      <c r="R115" s="20"/>
      <c r="S115" s="1"/>
      <c r="T115" s="1" t="s">
        <v>19</v>
      </c>
      <c r="U115" s="1"/>
      <c r="V115" s="1"/>
      <c r="W115" s="1" t="str">
        <f>CONCATENATE(P145," =&gt;"," ",M145)</f>
        <v>56 750 =&gt; 5 675</v>
      </c>
      <c r="X115" s="1" t="s">
        <v>252</v>
      </c>
      <c r="Y115" s="1"/>
      <c r="Z115" s="1"/>
      <c r="AA115" s="43" t="str">
        <f>CONCATENATE("(",R145," =&gt; ")</f>
        <v xml:space="preserve">(101 350 =&gt; </v>
      </c>
      <c r="AB115" s="76">
        <f>AB75+AB87+AB99+AB111</f>
        <v>10135</v>
      </c>
      <c r="AC115" s="1" t="s">
        <v>16</v>
      </c>
    </row>
    <row r="116" spans="1:29" x14ac:dyDescent="0.2">
      <c r="A116" s="52" t="s">
        <v>329</v>
      </c>
      <c r="B116" s="51"/>
      <c r="C116" s="51"/>
      <c r="D116" s="51"/>
      <c r="E116" s="51"/>
      <c r="F116" s="51"/>
      <c r="G116" s="51"/>
      <c r="H116" s="51"/>
      <c r="I116" s="18"/>
      <c r="R116" s="20"/>
    </row>
    <row r="117" spans="1:29" x14ac:dyDescent="0.2">
      <c r="I117" s="18"/>
      <c r="J117" s="54" t="str">
        <f>CONCATENATE("=&gt; ",L158)</f>
        <v>=&gt; Victoire totale : l'armée perdante est directement Démoralisée et la bataille s'achève.</v>
      </c>
      <c r="R117" s="20"/>
    </row>
    <row r="118" spans="1:29" x14ac:dyDescent="0.2">
      <c r="A118" s="3" t="s">
        <v>378</v>
      </c>
      <c r="I118" s="18"/>
      <c r="J118" s="48" t="str">
        <f>CONCATENATE("=&gt; ",L159,L160,L161,L162,L163,L164,L165,L166,L167)</f>
        <v>=&gt; La ville : Ferme d'Odiil subit 10 % de pénalité. (Total : 100 % de dégâts.)</v>
      </c>
      <c r="R118" s="20"/>
    </row>
    <row r="119" spans="1:29" x14ac:dyDescent="0.2">
      <c r="A119" s="3" t="s">
        <v>379</v>
      </c>
      <c r="I119" s="18"/>
      <c r="J119" s="48" t="str">
        <f>CONCATENATE("=&gt; ",L201,L170,L171,L172)</f>
        <v>=&gt; Les fortifications sont endommagées et le bonus de Murs tombe à +1 pour le round suivant.</v>
      </c>
      <c r="R119" s="20"/>
    </row>
    <row r="120" spans="1:29" x14ac:dyDescent="0.2">
      <c r="A120" s="3" t="s">
        <v>380</v>
      </c>
      <c r="I120" s="18"/>
      <c r="J120" s="48" t="str">
        <f>CONCATENATE("=&gt; ",L174,L175,L176)</f>
        <v xml:space="preserve">=&gt; </v>
      </c>
      <c r="R120" s="20"/>
    </row>
    <row r="121" spans="1:29" ht="15" thickBot="1" x14ac:dyDescent="0.25">
      <c r="A121" s="3" t="s">
        <v>381</v>
      </c>
      <c r="I121" s="18"/>
      <c r="J121" s="48" t="str">
        <f>CONCATENATE("=&gt; ",L177,L178,L179)</f>
        <v>=&gt; L'Armée du camp de Marius est Démoralisée et fuit le combat en hurlant !</v>
      </c>
      <c r="R121" s="20"/>
    </row>
    <row r="122" spans="1:29" x14ac:dyDescent="0.2">
      <c r="A122" s="51"/>
      <c r="B122" s="51"/>
      <c r="C122" s="51"/>
      <c r="D122" s="51"/>
      <c r="E122" s="51"/>
      <c r="F122" s="51"/>
      <c r="G122" s="51"/>
      <c r="H122" s="51"/>
      <c r="I122" s="51"/>
      <c r="J122" s="52" t="s">
        <v>329</v>
      </c>
      <c r="K122" s="51"/>
      <c r="L122" s="51"/>
      <c r="M122" s="51"/>
      <c r="N122" s="51"/>
      <c r="O122" s="51"/>
      <c r="P122" s="51"/>
      <c r="Q122" s="51"/>
      <c r="S122" s="51"/>
      <c r="T122" s="51"/>
      <c r="U122" s="51"/>
      <c r="V122" s="51"/>
      <c r="W122" s="51"/>
      <c r="X122" s="51"/>
      <c r="Y122" s="51"/>
      <c r="Z122" s="51"/>
      <c r="AA122" s="51"/>
    </row>
    <row r="123" spans="1:29" x14ac:dyDescent="0.2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29" x14ac:dyDescent="0.2">
      <c r="B124" s="3" t="s">
        <v>70</v>
      </c>
    </row>
    <row r="126" spans="1:29" x14ac:dyDescent="0.2">
      <c r="B126" s="1" t="s">
        <v>73</v>
      </c>
      <c r="D126" s="1" t="s">
        <v>210</v>
      </c>
      <c r="F126" s="1" t="s">
        <v>231</v>
      </c>
      <c r="G126" s="3" t="s">
        <v>248</v>
      </c>
    </row>
    <row r="127" spans="1:29" x14ac:dyDescent="0.2">
      <c r="G127" s="3" t="s">
        <v>72</v>
      </c>
      <c r="H127" s="3" t="s">
        <v>62</v>
      </c>
      <c r="I127" s="3" t="s">
        <v>63</v>
      </c>
      <c r="J127" s="3" t="s">
        <v>64</v>
      </c>
      <c r="K127" s="3" t="s">
        <v>65</v>
      </c>
      <c r="L127" s="3" t="s">
        <v>66</v>
      </c>
      <c r="M127" s="3" t="s">
        <v>67</v>
      </c>
      <c r="N127" s="3" t="s">
        <v>68</v>
      </c>
    </row>
    <row r="128" spans="1:29" x14ac:dyDescent="0.2">
      <c r="B128" s="1" t="s">
        <v>23</v>
      </c>
      <c r="C128" s="1" t="s">
        <v>322</v>
      </c>
      <c r="D128" s="28">
        <v>250</v>
      </c>
      <c r="E128" s="1" t="s">
        <v>348</v>
      </c>
      <c r="G128" s="15">
        <f>E62</f>
        <v>150955</v>
      </c>
      <c r="H128" s="35">
        <f>IF(OR(C15="d'Anvil",C15="de Bravil",C15="de Bruma",C15="de Cheydinhal",C15="de Chorrol",C15="de la Cité Impériale",C15="de Kvatch",C15="de Leyawiin",C15="de Skingrad"),E22,0)</f>
        <v>81955</v>
      </c>
      <c r="I128" s="3">
        <f>IF(OR(C15="d'Épervine",C15="de Faillaise"),E22,0)</f>
        <v>0</v>
      </c>
      <c r="J128" s="3">
        <f>IF(OR(C15="de Fort-de-Rive",C15="de Rimmen"),E22,0)</f>
        <v>0</v>
      </c>
      <c r="K128" s="3">
        <f>IF(OR(C15="d'Elinhir",C15="de Rihad"),E22,0)</f>
        <v>0</v>
      </c>
      <c r="L128" s="3">
        <f>IF(OR(C15="de Fort-Tempête",C15="de Gideon"),E22,0)</f>
        <v>0</v>
      </c>
      <c r="M128" s="3">
        <f>IF(OR(C15="de Kragenmoor",C15="de Narsis"),E22,0)</f>
        <v>0</v>
      </c>
      <c r="N128" s="3">
        <f>IF(OR(C15="d'Arenthia",C15="de Falinesti"),E22,0)</f>
        <v>0</v>
      </c>
    </row>
    <row r="129" spans="2:20" x14ac:dyDescent="0.2">
      <c r="B129" s="1"/>
      <c r="C129" s="21" t="s">
        <v>77</v>
      </c>
      <c r="D129" s="28">
        <v>245</v>
      </c>
      <c r="H129" s="35">
        <f>IF(OR(C27="d'Anvil",C27="de Bravil",C27="de Bruma",C27="de Cheydinhal",C27="de Chorrol",C27="de la Cité Impériale",C27="de Kvatch",C27="de Leyawiin",C27="de Skingrad"),E34,0)</f>
        <v>25000</v>
      </c>
      <c r="I129" s="3">
        <f>IF(OR(C27="d'Épervine",C27="de Faillaise"),E34,0)</f>
        <v>0</v>
      </c>
      <c r="J129" s="3">
        <f>IF(OR(C27="de Fort-de-Rive",C27="de Rimmen"),E34,0)</f>
        <v>0</v>
      </c>
      <c r="K129" s="3">
        <f>IF(OR(C27="d'Elinhir",C27="de Rihad"),E34,0)</f>
        <v>0</v>
      </c>
      <c r="L129" s="3">
        <f>IF(OR(C27="de Fort-Tempête",C27="de Gideon"),E34,0)</f>
        <v>0</v>
      </c>
      <c r="M129" s="3">
        <f>IF(OR(C27="de Kragenmoor",C27="de Narsis"),E34,0)</f>
        <v>0</v>
      </c>
      <c r="N129" s="3">
        <f>IF(OR(C27="d'Arenthia",C27="de Falinesti"),E34,0)</f>
        <v>0</v>
      </c>
    </row>
    <row r="130" spans="2:20" x14ac:dyDescent="0.2">
      <c r="B130" s="3" t="s">
        <v>24</v>
      </c>
      <c r="C130" s="21" t="s">
        <v>78</v>
      </c>
      <c r="D130" s="28">
        <v>240</v>
      </c>
      <c r="E130" s="3" t="s">
        <v>343</v>
      </c>
      <c r="H130" s="35">
        <f>IF(OR(C39="d'Anvil",C39="de Bravil",C39="de Bruma",C39="de Cheydinhal",C39="de Chorrol",C39="de la Cité Impériale",C39="de Kvatch",C39="de Leyawiin",C39="de Skingrad"),E46,0)</f>
        <v>0</v>
      </c>
      <c r="I130" s="3">
        <f>IF(OR(C39="d'Épervine",C39="de Faillaise"),E46,0)</f>
        <v>44000</v>
      </c>
      <c r="J130" s="3">
        <f>IF(OR(C39="de Fort-de-Rive",C39="de Rimmen"),E46,0)</f>
        <v>0</v>
      </c>
      <c r="K130" s="3">
        <f>IF(OR(C39="d'Elinhir",C39="de Rihad"),E46,0)</f>
        <v>0</v>
      </c>
      <c r="L130" s="3">
        <f>IF(OR(C39="de Fort-Tempête",C39="de Gideon"),E46,0)</f>
        <v>0</v>
      </c>
      <c r="M130" s="3">
        <f>IF(OR(C39="de Kragenmoor",C39="de Narsis"),E46,0)</f>
        <v>0</v>
      </c>
      <c r="N130" s="3">
        <f>IF(OR(C39="d'Arenthia",C39="de Falinesti"),E46,0)</f>
        <v>0</v>
      </c>
    </row>
    <row r="131" spans="2:20" x14ac:dyDescent="0.2">
      <c r="B131" s="3" t="s">
        <v>25</v>
      </c>
      <c r="D131" s="28">
        <v>235</v>
      </c>
      <c r="E131" s="3" t="s">
        <v>344</v>
      </c>
      <c r="H131" s="35">
        <f>IF(OR(C51="d'Anvil",C51="de Bravil",C51="de Bruma",C51="de Cheydinhal",C51="de Chorrol",C51="de la Cité Impériale",C51="de Kvatch",C51="de Leyawiin",C51="de Skingrad"),E58,0)</f>
        <v>0</v>
      </c>
      <c r="I131" s="3">
        <f>IF(OR(C51="d'Épervine",C51="de Faillaise"),E58,0)</f>
        <v>0</v>
      </c>
      <c r="J131" s="3">
        <f>IF(OR(C51="de Fort-de-Rive",C51="de Rimmen"),E58,0)</f>
        <v>0</v>
      </c>
      <c r="K131" s="3">
        <f>IF(OR(C51="d'Elinhir",C51="de Rihad"),E58,0)</f>
        <v>0</v>
      </c>
      <c r="L131" s="3">
        <f>IF(OR(C51="de Fort-Tempête",C51="de Gideon"),E58,0)</f>
        <v>0</v>
      </c>
      <c r="M131" s="3">
        <f>IF(OR(C51="de Kragenmoor",C51="de Narsis"),E58,0)</f>
        <v>0</v>
      </c>
      <c r="N131" s="3">
        <f>IF(OR(C51="d'Arenthia",C51="de Falinesti"),E58,0)</f>
        <v>0</v>
      </c>
    </row>
    <row r="132" spans="2:20" x14ac:dyDescent="0.2">
      <c r="B132" s="3" t="s">
        <v>26</v>
      </c>
      <c r="C132" s="1" t="s">
        <v>323</v>
      </c>
      <c r="D132" s="28">
        <v>230</v>
      </c>
      <c r="E132" s="3" t="s">
        <v>352</v>
      </c>
      <c r="G132" s="3" t="s">
        <v>71</v>
      </c>
      <c r="H132" s="35">
        <f>SUM(H128:H131)</f>
        <v>106955</v>
      </c>
      <c r="I132" s="3">
        <f t="shared" ref="I132:N132" si="8">SUM(I128:I131)</f>
        <v>44000</v>
      </c>
      <c r="J132" s="3">
        <f t="shared" si="8"/>
        <v>0</v>
      </c>
      <c r="K132" s="3">
        <f t="shared" si="8"/>
        <v>0</v>
      </c>
      <c r="L132" s="3">
        <f t="shared" si="8"/>
        <v>0</v>
      </c>
      <c r="M132" s="3">
        <f t="shared" si="8"/>
        <v>0</v>
      </c>
      <c r="N132" s="3">
        <f t="shared" si="8"/>
        <v>0</v>
      </c>
    </row>
    <row r="133" spans="2:20" x14ac:dyDescent="0.2">
      <c r="B133" s="3" t="s">
        <v>27</v>
      </c>
      <c r="C133" s="3" t="s">
        <v>79</v>
      </c>
      <c r="D133" s="28">
        <v>225</v>
      </c>
      <c r="E133" s="3" t="s">
        <v>353</v>
      </c>
      <c r="H133" s="35"/>
    </row>
    <row r="134" spans="2:20" x14ac:dyDescent="0.2">
      <c r="B134" s="3" t="s">
        <v>28</v>
      </c>
      <c r="C134" s="3" t="s">
        <v>80</v>
      </c>
      <c r="D134" s="28">
        <v>220</v>
      </c>
      <c r="E134" s="3" t="s">
        <v>354</v>
      </c>
      <c r="G134" s="3" t="s">
        <v>72</v>
      </c>
      <c r="H134" s="35">
        <f>IF(OR(C68="d'Anvil",C68="de Bravil",C68="de Bruma",C68="de Cheydinhal",C68="de Chorrol",C68="de la Cité Impériale",C68="de Kvatch",C68="de Leyawiin",C68="de Skingrad"),E75,0)</f>
        <v>36750</v>
      </c>
      <c r="I134" s="3">
        <f>IF(OR(C68="d'Épervine",C68="de Faillaise"),E75,0)</f>
        <v>0</v>
      </c>
      <c r="J134" s="3">
        <f>IF(OR(C68="de Fort-de-Rive",C68="de Rimmen"),E75,0)</f>
        <v>0</v>
      </c>
      <c r="K134" s="3">
        <f>IF(OR(C68="d'Elinhir",C68="de Rihad"),E75,0)</f>
        <v>0</v>
      </c>
      <c r="L134" s="3">
        <f>IF(OR(C68="de Fort-Tempête",C68="de Gideon"),E75,0)</f>
        <v>0</v>
      </c>
      <c r="M134" s="3">
        <f>IF(OR(C68="de Kragenmoor",C68="de Narsis"),E75,0)</f>
        <v>0</v>
      </c>
      <c r="N134" s="3">
        <f>IF(OR(C68="d'Arenthia",C68="de Falinesti"),E75,0)</f>
        <v>0</v>
      </c>
    </row>
    <row r="135" spans="2:20" x14ac:dyDescent="0.2">
      <c r="B135" s="3" t="s">
        <v>29</v>
      </c>
      <c r="C135" s="3" t="s">
        <v>81</v>
      </c>
      <c r="D135" s="28">
        <v>215</v>
      </c>
      <c r="E135" s="3" t="s">
        <v>355</v>
      </c>
      <c r="G135" s="15">
        <f>E115</f>
        <v>56750</v>
      </c>
      <c r="H135" s="35">
        <f>IF(OR(C80="d'Anvil",C80="de Bravil",C80="de Bruma",C80="de Cheydinhal",C80="de Chorrol",C80="de la Cité Impériale",C80="de Kvatch",C80="de Leyawiin",C80="de Skingrad"),E87,0)</f>
        <v>0</v>
      </c>
      <c r="I135" s="3">
        <f>IF(OR(C80="d'Épervine",C80="de Faillaise"),E87,0)</f>
        <v>0</v>
      </c>
      <c r="J135" s="3">
        <f>IF(OR(C80="de Fort-de-Rive",C80="de Rimmen"),E87,0)</f>
        <v>0</v>
      </c>
      <c r="K135" s="3">
        <f>IF(OR(C80="d'Elinhir",C80="de Rihad"),E87,0)</f>
        <v>0</v>
      </c>
      <c r="L135" s="3">
        <f>IF(OR(C80="de Fort-Tempête",C80="de Gideon"),E87,0)</f>
        <v>0</v>
      </c>
      <c r="M135" s="3">
        <f>IF(OR(C80="de Kragenmoor",C80="de Narsis"),E87,0)</f>
        <v>0</v>
      </c>
      <c r="N135" s="3">
        <f>IF(OR(C80="d'Arenthia",C80="de Falinesti"),E87,0)</f>
        <v>20000</v>
      </c>
    </row>
    <row r="136" spans="2:20" x14ac:dyDescent="0.2">
      <c r="B136" s="3" t="s">
        <v>30</v>
      </c>
      <c r="C136" s="3" t="s">
        <v>82</v>
      </c>
      <c r="D136" s="28">
        <v>210</v>
      </c>
      <c r="E136" s="3" t="s">
        <v>356</v>
      </c>
      <c r="H136" s="35">
        <f>IF(OR(C92="d'Anvil",C92="de Bravil",C92="de Bruma",C92="de Cheydinhal",C92="de Chorrol",C92="de la Cité Impériale",C92="de Kvatch",C92="de Leyawiin",C92="de Skingrad"),E99,0)</f>
        <v>0</v>
      </c>
      <c r="I136" s="3">
        <f>IF(OR(C92="d'Épervine",C92="de Faillaise"),E99,0)</f>
        <v>0</v>
      </c>
      <c r="J136" s="3">
        <f>IF(OR(C92="de Fort-de-Rive",C92="de Rimmen"),E99,0)</f>
        <v>0</v>
      </c>
      <c r="K136" s="3">
        <f>IF(OR(C92="d'Elinhir",C92="de Rihad"),E99,0)</f>
        <v>0</v>
      </c>
      <c r="L136" s="3">
        <f>IF(OR(C92="de Fort-Tempête",C92="de Gideon"),E99,0)</f>
        <v>0</v>
      </c>
      <c r="M136" s="3">
        <f>IF(OR(C92="de Kragenmoor",C92="de Narsis"),E99,0)</f>
        <v>0</v>
      </c>
      <c r="N136" s="3">
        <f>IF(OR(C92="d'Arenthia",C92="de Falinesti"),E99,0)</f>
        <v>0</v>
      </c>
    </row>
    <row r="137" spans="2:20" x14ac:dyDescent="0.2">
      <c r="B137" s="3" t="s">
        <v>31</v>
      </c>
      <c r="C137" s="3" t="s">
        <v>83</v>
      </c>
      <c r="D137" s="28">
        <v>205</v>
      </c>
      <c r="E137" s="3" t="s">
        <v>357</v>
      </c>
      <c r="H137" s="35">
        <f>IF(OR(C104="d'Anvil",C104="de Bravil",C104="de Bruma",C104="de Cheydinhal",C104="de Chorrol",C104="de la Cité Impériale",C104="de Kvatch",C104="de Leyawiin",C104="de Skingrad"),E111,0)</f>
        <v>0</v>
      </c>
      <c r="I137" s="3">
        <f>IF(OR(C104="d'Épervine",C104="de Faillaise"),E111,0)</f>
        <v>0</v>
      </c>
      <c r="J137" s="3">
        <f>IF(OR(C104="de Fort-de-Rive",C104="de Rimmen"),E111,0)</f>
        <v>0</v>
      </c>
      <c r="K137" s="3">
        <f>IF(OR(C104="d'Elinhir",C104="de Rihad"),E111,0)</f>
        <v>0</v>
      </c>
      <c r="L137" s="3">
        <f>IF(OR(C104="de Fort-Tempête",C104="de Gideon"),E111,0)</f>
        <v>0</v>
      </c>
      <c r="M137" s="3">
        <f>IF(OR(C104="de Kragenmoor",C104="de Narsis"),E111,0)</f>
        <v>0</v>
      </c>
      <c r="N137" s="3">
        <f>IF(OR(C104="d'Arenthia",C104="de Falinesti"),E111,0)</f>
        <v>0</v>
      </c>
    </row>
    <row r="138" spans="2:20" x14ac:dyDescent="0.2">
      <c r="B138" s="3" t="s">
        <v>32</v>
      </c>
      <c r="C138" s="3" t="s">
        <v>84</v>
      </c>
      <c r="D138" s="28">
        <v>200</v>
      </c>
      <c r="G138" s="3" t="s">
        <v>71</v>
      </c>
      <c r="H138" s="35">
        <f>SUM(H134:H137)</f>
        <v>36750</v>
      </c>
      <c r="I138" s="3">
        <f t="shared" ref="I138" si="9">SUM(I134:I137)</f>
        <v>0</v>
      </c>
      <c r="J138" s="3">
        <f t="shared" ref="J138" si="10">SUM(J134:J137)</f>
        <v>0</v>
      </c>
      <c r="K138" s="3">
        <f t="shared" ref="K138" si="11">SUM(K134:K137)</f>
        <v>0</v>
      </c>
      <c r="L138" s="3">
        <f t="shared" ref="L138" si="12">SUM(L134:L137)</f>
        <v>0</v>
      </c>
      <c r="M138" s="3">
        <f t="shared" ref="M138" si="13">SUM(M134:M137)</f>
        <v>0</v>
      </c>
      <c r="N138" s="3">
        <f t="shared" ref="N138" si="14">SUM(N134:N137)</f>
        <v>20000</v>
      </c>
    </row>
    <row r="139" spans="2:20" x14ac:dyDescent="0.2">
      <c r="B139" s="3" t="s">
        <v>33</v>
      </c>
      <c r="C139" s="3" t="s">
        <v>85</v>
      </c>
      <c r="D139" s="29">
        <v>195</v>
      </c>
      <c r="E139" s="1" t="s">
        <v>359</v>
      </c>
      <c r="H139" s="35"/>
    </row>
    <row r="140" spans="2:20" x14ac:dyDescent="0.2">
      <c r="B140" s="3" t="s">
        <v>34</v>
      </c>
      <c r="C140" s="3" t="s">
        <v>86</v>
      </c>
      <c r="D140" s="29">
        <v>190</v>
      </c>
      <c r="E140" s="3" t="s">
        <v>343</v>
      </c>
      <c r="F140" s="43" t="s">
        <v>247</v>
      </c>
      <c r="G140" s="3" t="s">
        <v>238</v>
      </c>
      <c r="H140" s="43" t="s">
        <v>234</v>
      </c>
      <c r="I140" s="3" t="s">
        <v>232</v>
      </c>
      <c r="M140" s="1" t="s">
        <v>310</v>
      </c>
      <c r="N140" s="3" t="s">
        <v>339</v>
      </c>
    </row>
    <row r="141" spans="2:20" x14ac:dyDescent="0.2">
      <c r="B141" s="3" t="s">
        <v>35</v>
      </c>
      <c r="C141" s="3" t="s">
        <v>87</v>
      </c>
      <c r="D141" s="29">
        <v>185</v>
      </c>
      <c r="E141" s="3" t="s">
        <v>361</v>
      </c>
      <c r="F141" s="34" t="s">
        <v>243</v>
      </c>
      <c r="G141" s="3">
        <f>LARGE(G142:G145,1)</f>
        <v>2</v>
      </c>
      <c r="H141" s="35"/>
      <c r="J141" s="3" t="s">
        <v>243</v>
      </c>
      <c r="K141" s="3" t="s">
        <v>244</v>
      </c>
      <c r="N141" s="3" t="str">
        <f>TEXT(L21,"# ##0")</f>
        <v>168 457</v>
      </c>
      <c r="O141" s="3" t="str">
        <f>TEXT(E22,"# ##0")</f>
        <v>81 955</v>
      </c>
      <c r="P141" s="3" t="str">
        <f>TEXT(E75,"# ##0")</f>
        <v>36 750</v>
      </c>
      <c r="Q141" s="3" t="str">
        <f>TEXT(G22,"# ##0")</f>
        <v>75 657</v>
      </c>
      <c r="R141" s="75" t="str">
        <f>TEXT(G75,"# ##0")</f>
        <v>76 350</v>
      </c>
      <c r="S141" s="75"/>
      <c r="T141" s="75"/>
    </row>
    <row r="142" spans="2:20" x14ac:dyDescent="0.2">
      <c r="B142" s="3" t="s">
        <v>36</v>
      </c>
      <c r="C142" s="3" t="s">
        <v>88</v>
      </c>
      <c r="D142" s="29">
        <v>180</v>
      </c>
      <c r="E142" s="3" t="s">
        <v>360</v>
      </c>
      <c r="F142" s="3" t="s">
        <v>239</v>
      </c>
      <c r="G142" s="3">
        <f>IF(OR(B18="",B18="* Rang PJ *",E22=0),0,IF(B18="Vassal ",1,2))</f>
        <v>1</v>
      </c>
      <c r="H142" s="35"/>
      <c r="J142" s="3">
        <f>IF(OR(M6="Terrain neutre",M6="",M6="* Renseignez la province *"),0,IF(M6=H127,H132,IF(M6=I127,I132,IF(M6=J127,J132,IF(M6=K127,K132,IF(M6=L127,L132,IF(M6=M127,M132,IF(M6=N127,N132,"Erreur !"))))))))</f>
        <v>106955</v>
      </c>
      <c r="K142" s="3">
        <f>IF(OR(M6="Terrain neutre",M6="",M6="* Renseignez la province *"),0,IF(M6=H127,H138,IF(M6=I127,I138,IF(M6=J127,J138,IF(M6=K127,K138,IF(M6=L127,L138,IF(M6=M127,M138,IF(M6=N127,N138,"Erreur !"))))))))</f>
        <v>36750</v>
      </c>
      <c r="M142" s="15">
        <f>W22+W34+W46+W58</f>
        <v>146430</v>
      </c>
      <c r="N142" s="3" t="str">
        <f>TEXT(N21,"# ##0")</f>
        <v>101 350</v>
      </c>
      <c r="O142" s="3" t="str">
        <f>TEXT(E34,"# ##0")</f>
        <v>25 000</v>
      </c>
      <c r="P142" s="3" t="str">
        <f>TEXT(E87,"# ##0")</f>
        <v>20 000</v>
      </c>
      <c r="Q142" s="3" t="str">
        <f>TEXT(G34,"# ##0")</f>
        <v>30 000</v>
      </c>
      <c r="R142" s="75" t="str">
        <f>TEXT(G87,"# ##0")</f>
        <v>25 000</v>
      </c>
      <c r="S142" s="75"/>
      <c r="T142" s="75"/>
    </row>
    <row r="143" spans="2:20" x14ac:dyDescent="0.2">
      <c r="B143" s="3" t="s">
        <v>37</v>
      </c>
      <c r="C143" s="3" t="s">
        <v>89</v>
      </c>
      <c r="D143" s="29">
        <v>175</v>
      </c>
      <c r="F143" s="3" t="s">
        <v>240</v>
      </c>
      <c r="G143" s="3">
        <f>IF(OR(B30="",B30="* Rang PJ *",E34=0),0,IF(B30="Vassal ",1,2))</f>
        <v>0</v>
      </c>
      <c r="H143" s="35"/>
      <c r="J143" s="3">
        <f>IF(OR(M8="",M8="* Renseignez la province *"),0,IF(M8=H127,H132,IF(M8=I127,I132,IF(M8=J127,J132,IF(M8=K127,K132,IF(M8=L127,L132,IF(M8=M127,M132,IF(M8=N127,N132,"Erreur !"))))))))</f>
        <v>0</v>
      </c>
      <c r="K143" s="3">
        <f>IF(OR(M8="",M8="* Renseignez la province *"),0,IF(M8=H127,H138,IF(M8=I127,I138,IF(M8=J127,J138,IF(M8=K127,K138,IF(M8=L127,L138,IF(M8=M127,M138,IF(M8=N127,N138,"Erreur !"))))))))</f>
        <v>0</v>
      </c>
      <c r="M143" s="15">
        <f>W75+W87+W99+W111</f>
        <v>5675</v>
      </c>
      <c r="N143" s="3" t="str">
        <f>TEXT(P21,"# ##0,00")</f>
        <v>1,66</v>
      </c>
      <c r="O143" s="3" t="str">
        <f>TEXT(E46,"# ##0")</f>
        <v>44 000</v>
      </c>
      <c r="P143" s="3" t="str">
        <f>TEXT(E99,"# ##0")</f>
        <v>0</v>
      </c>
      <c r="Q143" s="3" t="str">
        <f>TEXT(G46,"# ##0")</f>
        <v>62 800</v>
      </c>
      <c r="R143" s="75" t="str">
        <f>TEXT(G99,"# ##0")</f>
        <v>0</v>
      </c>
      <c r="S143" s="75"/>
      <c r="T143" s="75"/>
    </row>
    <row r="144" spans="2:20" x14ac:dyDescent="0.2">
      <c r="B144" s="3" t="s">
        <v>38</v>
      </c>
      <c r="C144" s="3" t="s">
        <v>90</v>
      </c>
      <c r="D144" s="29">
        <v>170</v>
      </c>
      <c r="F144" s="3" t="s">
        <v>241</v>
      </c>
      <c r="G144" s="3">
        <f>IF(OR(B42="",B42="* Rang PJ *",E46=0),0,IF(B42="Vassal ",1,2))</f>
        <v>2</v>
      </c>
      <c r="H144" s="35" t="s">
        <v>7</v>
      </c>
      <c r="J144" s="3">
        <f>J142+J143</f>
        <v>106955</v>
      </c>
      <c r="K144" s="3">
        <f>K142+K143</f>
        <v>36750</v>
      </c>
      <c r="M144" s="15" t="str">
        <f>TEXT(M142,"# ##0")</f>
        <v>146 430</v>
      </c>
      <c r="O144" s="3" t="str">
        <f>TEXT(E58,"# ##0")</f>
        <v>0</v>
      </c>
      <c r="P144" s="3" t="str">
        <f>TEXT(E111,"# ##0")</f>
        <v>0</v>
      </c>
      <c r="Q144" s="3" t="str">
        <f>TEXT(G58,"# ##0")</f>
        <v>0</v>
      </c>
      <c r="R144" s="75" t="str">
        <f>TEXT(G111,"# ##0")</f>
        <v>0</v>
      </c>
      <c r="S144" s="75"/>
      <c r="T144" s="75"/>
    </row>
    <row r="145" spans="2:20" x14ac:dyDescent="0.2">
      <c r="B145" s="3" t="s">
        <v>39</v>
      </c>
      <c r="C145" s="3" t="s">
        <v>91</v>
      </c>
      <c r="D145" s="29">
        <v>165</v>
      </c>
      <c r="F145" s="3" t="s">
        <v>242</v>
      </c>
      <c r="G145" s="3">
        <f>IF(OR(B54="",B54="* Rang PJ *",E58=0),0,IF(B54="Vassal ",1,2))</f>
        <v>0</v>
      </c>
      <c r="H145" s="35" t="s">
        <v>249</v>
      </c>
      <c r="J145" s="3">
        <f>IF(G128=0,0,J144/G128)</f>
        <v>0.70852240733993577</v>
      </c>
      <c r="K145" s="3">
        <f>IF(G135=0,0,K144/G135)</f>
        <v>0.64757709251101325</v>
      </c>
      <c r="M145" s="3" t="str">
        <f>TEXT(M143,"# ##0")</f>
        <v>5 675</v>
      </c>
      <c r="O145" s="3" t="str">
        <f>TEXT(E62,"# ##0")</f>
        <v>150 955</v>
      </c>
      <c r="P145" s="3" t="str">
        <f>TEXT(E115,"# ##0")</f>
        <v>56 750</v>
      </c>
      <c r="Q145" s="3" t="str">
        <f t="shared" ref="Q145" si="15">TEXT(G62,"# ##0")</f>
        <v>168 457</v>
      </c>
      <c r="R145" s="75" t="str">
        <f>TEXT(G115,"# ##0")</f>
        <v>101 350</v>
      </c>
      <c r="S145" s="75"/>
      <c r="T145" s="75"/>
    </row>
    <row r="146" spans="2:20" x14ac:dyDescent="0.2">
      <c r="B146" s="3" t="s">
        <v>40</v>
      </c>
      <c r="C146" s="3" t="s">
        <v>92</v>
      </c>
      <c r="D146" s="29">
        <v>160</v>
      </c>
      <c r="F146" s="34" t="s">
        <v>244</v>
      </c>
      <c r="G146" s="3">
        <f>LARGE(G147:G150,1)</f>
        <v>2</v>
      </c>
      <c r="H146" s="35"/>
    </row>
    <row r="147" spans="2:20" x14ac:dyDescent="0.2">
      <c r="B147" s="3" t="s">
        <v>41</v>
      </c>
      <c r="C147" s="3" t="s">
        <v>93</v>
      </c>
      <c r="D147" s="29">
        <v>155</v>
      </c>
      <c r="F147" s="3" t="s">
        <v>239</v>
      </c>
      <c r="G147" s="3">
        <f>IF(OR(B71="",B71="* Rang PJ *",E75=0),0,IF(B71="Vassal ",1,2))</f>
        <v>0</v>
      </c>
      <c r="H147" s="43" t="s">
        <v>266</v>
      </c>
      <c r="I147" s="3" t="s">
        <v>267</v>
      </c>
      <c r="M147" s="1" t="s">
        <v>311</v>
      </c>
      <c r="N147" s="31" t="s">
        <v>315</v>
      </c>
    </row>
    <row r="148" spans="2:20" x14ac:dyDescent="0.2">
      <c r="B148" s="3" t="s">
        <v>42</v>
      </c>
      <c r="C148" s="3" t="s">
        <v>94</v>
      </c>
      <c r="D148" s="29">
        <v>150</v>
      </c>
      <c r="F148" s="3" t="s">
        <v>240</v>
      </c>
      <c r="G148" s="3">
        <f>IF(OR(B83="",B83="* Rang PJ *",E87=0),0,IF(B83="Vassal ",1,2))</f>
        <v>2</v>
      </c>
      <c r="H148" s="35"/>
      <c r="J148" s="3" t="s">
        <v>243</v>
      </c>
      <c r="K148" s="3" t="s">
        <v>244</v>
      </c>
      <c r="N148" s="3" t="str">
        <f>IF(O22="Égalité","","+")</f>
        <v>+</v>
      </c>
      <c r="O148" s="3" t="str">
        <f>IF(O22="Égalité",""," pour ")</f>
        <v xml:space="preserve"> pour </v>
      </c>
    </row>
    <row r="149" spans="2:20" x14ac:dyDescent="0.2">
      <c r="B149" s="3" t="s">
        <v>43</v>
      </c>
      <c r="C149" s="3" t="s">
        <v>95</v>
      </c>
      <c r="D149" s="29">
        <v>145</v>
      </c>
      <c r="F149" s="3" t="s">
        <v>241</v>
      </c>
      <c r="G149" s="3">
        <f>IF(OR(B95="",B95="* Rang PJ *",E99=0),0,IF(B95="Vassal ",1,2))</f>
        <v>0</v>
      </c>
      <c r="H149" s="35" t="s">
        <v>249</v>
      </c>
      <c r="J149" s="38">
        <f>IF(M22=C13,O22+1-1,0)</f>
        <v>2</v>
      </c>
      <c r="K149" s="38">
        <f>IF(M22=C66,O22+1-1,0)</f>
        <v>0</v>
      </c>
      <c r="N149" s="3" t="str">
        <f>IF(L29&gt;0,CONCATENATE("+",L29),L29)</f>
        <v>+8</v>
      </c>
    </row>
    <row r="150" spans="2:20" x14ac:dyDescent="0.2">
      <c r="B150" s="3" t="s">
        <v>44</v>
      </c>
      <c r="C150" s="3" t="s">
        <v>96</v>
      </c>
      <c r="D150" s="29">
        <v>140</v>
      </c>
      <c r="F150" s="3" t="s">
        <v>242</v>
      </c>
      <c r="G150" s="3">
        <f>IF(OR(B107="",B107="* Rang PJ *",E111=0),0,IF(B107="Vassal ",1,2))</f>
        <v>0</v>
      </c>
      <c r="H150" s="35" t="s">
        <v>268</v>
      </c>
      <c r="J150" s="3">
        <f>L29</f>
        <v>8</v>
      </c>
      <c r="K150" s="3">
        <f>L35</f>
        <v>4</v>
      </c>
      <c r="N150" s="3" t="str">
        <f>IF(L35&gt;0,CONCATENATE("+",L35),L35)</f>
        <v>+4</v>
      </c>
    </row>
    <row r="151" spans="2:20" x14ac:dyDescent="0.2">
      <c r="B151" s="1"/>
      <c r="C151" s="3" t="s">
        <v>97</v>
      </c>
      <c r="D151" s="29">
        <v>135</v>
      </c>
      <c r="H151" s="35" t="s">
        <v>269</v>
      </c>
      <c r="K151" s="3">
        <f>L45</f>
        <v>2</v>
      </c>
      <c r="N151" s="3" t="str">
        <f>IF(L37="Égalité",L37,CONCATENATE("+",L37))</f>
        <v>+4</v>
      </c>
      <c r="O151" s="3" t="str">
        <f>IF(L37="Égalité",""," pour ")</f>
        <v xml:space="preserve"> pour </v>
      </c>
    </row>
    <row r="152" spans="2:20" x14ac:dyDescent="0.2">
      <c r="B152" s="1" t="s">
        <v>181</v>
      </c>
      <c r="D152" s="29">
        <v>130</v>
      </c>
      <c r="F152" s="3" t="s">
        <v>263</v>
      </c>
      <c r="H152" s="35" t="s">
        <v>270</v>
      </c>
      <c r="J152" s="3">
        <f>IF(M48="Charisme",0,M48)</f>
        <v>2</v>
      </c>
      <c r="K152" s="3">
        <f>IF(M49="Charisme",0,M49)</f>
        <v>2</v>
      </c>
      <c r="N152" s="3" t="str">
        <f>IF(AND(G155=1,O71=C13)," et réussite sur son D2",IF(AND(G155=0,ISODD(G153-G154),G153&gt;G154)," et échec sur son D2",""))</f>
        <v/>
      </c>
    </row>
    <row r="153" spans="2:20" x14ac:dyDescent="0.2">
      <c r="B153" s="3" t="s">
        <v>45</v>
      </c>
      <c r="C153" s="1" t="s">
        <v>324</v>
      </c>
      <c r="D153" s="29">
        <v>125</v>
      </c>
      <c r="F153" s="34" t="s">
        <v>243</v>
      </c>
      <c r="G153" s="3">
        <f>IF(OR(O67="* Définir Niveau *",O67=""),1,O67)</f>
        <v>1</v>
      </c>
      <c r="H153" s="35" t="s">
        <v>271</v>
      </c>
      <c r="J153" s="3">
        <f>IF(M56="Domicile",0,M56)</f>
        <v>1</v>
      </c>
      <c r="K153" s="3">
        <f>IF(M57="Domicile",0,M57)</f>
        <v>1</v>
      </c>
      <c r="N153" s="3" t="str">
        <f>IF(AND(G155=1,O71=C66)," et réussite sur son D2",IF(AND(G155=0,ISODD(G153-G154),G154&gt;G153)," et échec sur son D2",""))</f>
        <v xml:space="preserve"> et réussite sur son D2</v>
      </c>
    </row>
    <row r="154" spans="2:20" x14ac:dyDescent="0.2">
      <c r="B154" s="3" t="s">
        <v>46</v>
      </c>
      <c r="C154" s="22" t="s">
        <v>98</v>
      </c>
      <c r="D154" s="29">
        <v>120</v>
      </c>
      <c r="F154" s="34" t="s">
        <v>244</v>
      </c>
      <c r="G154" s="3">
        <f>IF(OR(O68="* Définir Niveau *",O68=""),1,O68)</f>
        <v>2</v>
      </c>
      <c r="H154" s="35" t="s">
        <v>272</v>
      </c>
      <c r="J154" s="3">
        <f>IF(L62="",0,L62)</f>
        <v>0</v>
      </c>
      <c r="K154" s="3">
        <f>IF(L63="",0,L63)</f>
        <v>-3</v>
      </c>
      <c r="N154" s="3" t="str">
        <f>IF(M71="Égalité",M71,CONCATENATE("+",M71," pour ",O71))</f>
        <v>+1 pour Marius</v>
      </c>
    </row>
    <row r="155" spans="2:20" x14ac:dyDescent="0.2">
      <c r="B155" s="3" t="s">
        <v>47</v>
      </c>
      <c r="C155" s="22" t="s">
        <v>99</v>
      </c>
      <c r="D155" s="29">
        <v>115</v>
      </c>
      <c r="F155" s="3" t="s">
        <v>265</v>
      </c>
      <c r="G155" s="3">
        <f>IF(AND(M70="Oui",ISODD(G153-G154)),1,0)</f>
        <v>1</v>
      </c>
      <c r="H155" s="35" t="s">
        <v>273</v>
      </c>
      <c r="J155" s="3">
        <f>IF(O71=C13,M71,0)</f>
        <v>0</v>
      </c>
      <c r="K155" s="3">
        <f>IF(O71=C66,M71,0)</f>
        <v>1</v>
      </c>
      <c r="N155" s="3" t="str">
        <f>IF(K77="Égalité",K77,CONCATENATE("+",K77," pour "))</f>
        <v xml:space="preserve">+6 pour </v>
      </c>
    </row>
    <row r="156" spans="2:20" x14ac:dyDescent="0.2">
      <c r="C156" s="22" t="s">
        <v>100</v>
      </c>
      <c r="D156" s="29">
        <v>110</v>
      </c>
      <c r="H156" s="35"/>
      <c r="N156" s="3" t="str">
        <f>IF(K77="Égalité","",IF(K77&gt;12," (Méga Ouch^^)",IF(K77&gt;7," (Ouch^^)","")))</f>
        <v/>
      </c>
    </row>
    <row r="157" spans="2:20" x14ac:dyDescent="0.2">
      <c r="B157" s="1" t="s">
        <v>182</v>
      </c>
      <c r="C157" s="22" t="s">
        <v>101</v>
      </c>
      <c r="D157" s="29">
        <v>105</v>
      </c>
      <c r="F157" s="43" t="s">
        <v>279</v>
      </c>
      <c r="G157" s="3" t="s">
        <v>280</v>
      </c>
      <c r="H157" s="3" t="str">
        <f>IF(F160=2," (Lancé Imparfait^^)",IF(F160=3," (Lancé très foireux^^)",IF(F160=4," (Lancé foireux^^)",IF(F160=10," (Lancé chanceux^^)",IF(F160=11," (Lancé très chanceux^^)",IF(F160=12," (Lancé Parfait^^)",""))))))</f>
        <v xml:space="preserve"> (Lancé chanceux^^)</v>
      </c>
      <c r="K157" s="1" t="s">
        <v>313</v>
      </c>
      <c r="L157" s="3" t="s">
        <v>314</v>
      </c>
      <c r="N157" s="3" t="str">
        <f>IF(L82="Égalité","",IF(L82&gt;12," (Méga Ouch^^)",IF(L82&gt;7," (Ouch^^)","")))</f>
        <v xml:space="preserve"> (Méga Ouch^^)</v>
      </c>
    </row>
    <row r="158" spans="2:20" x14ac:dyDescent="0.2">
      <c r="C158" s="22" t="s">
        <v>102</v>
      </c>
      <c r="D158" s="29">
        <v>100</v>
      </c>
      <c r="F158" s="3" t="s">
        <v>243</v>
      </c>
      <c r="G158" s="3" t="s">
        <v>244</v>
      </c>
      <c r="H158" s="3" t="str">
        <f>IF(G160=2," (Lancé Imparfait^^)",IF(G160=3," (Lancé très foireux^^)",IF(G160=4," (Lancé foireux^^)",IF(G160=10," (Lancé chanceux^^)",IF(G160=11," (Lancé très chanceux^^)",IF(G160=12," (Lancé Parfait^^)",""))))))</f>
        <v xml:space="preserve"> (Lancé très foireux^^)</v>
      </c>
      <c r="K158" s="3" t="s">
        <v>316</v>
      </c>
      <c r="L158" s="3" t="str">
        <f>IF(OR(L82="Égalité",L82&lt;4),"Bataille non concluante : chaque adversaire reste sur ses positions.",IF(L82&lt;8,"Victoire marginale : l'armée du perdant est légèrement désorganisée et voit son moral entamé d'un niveau.",IF(L82&lt;13,"Victoire : l'armée du perdant est désorganisée et voit son moral entamé de deux niveaux.",IF(L82&gt;=13,"Victoire totale : l'armée perdante est directement Démoralisée et la bataille s'achève.","Erreur !"))))</f>
        <v>Victoire totale : l'armée perdante est directement Démoralisée et la bataille s'achève.</v>
      </c>
    </row>
    <row r="159" spans="2:20" x14ac:dyDescent="0.2">
      <c r="B159" s="3" t="s">
        <v>49</v>
      </c>
      <c r="C159" s="22" t="s">
        <v>103</v>
      </c>
      <c r="D159" s="37">
        <v>95</v>
      </c>
      <c r="E159" s="35" t="s">
        <v>281</v>
      </c>
      <c r="F159" s="3">
        <f>IF(M77=C13,K77,0)</f>
        <v>6</v>
      </c>
      <c r="G159" s="3">
        <f>IF(M77=C66,K77,0)</f>
        <v>0</v>
      </c>
      <c r="H159" s="3" t="s">
        <v>308</v>
      </c>
      <c r="I159" s="3" t="str">
        <f>IF(L82="Égalité","Égalité",CONCATENATE("+",ABS(L82)," pour ",N82))</f>
        <v>+13 pour Ayana</v>
      </c>
      <c r="K159" s="3" t="s">
        <v>318</v>
      </c>
      <c r="L159" s="3" t="str">
        <f>IF(M12=0,"",IF(M10="Avant-Poste","L'Avant-Poste subit ",IF(M10="Camp","Le Camp subit ",IF(AND(OR(M10="Bourg",M10="Ville mineure",M10="Ville majeure",M10="Capitale"),L82&gt;12,N82=C66),CONCATENATE("La ville : ",N16," ne subit "),IF(OR(M10="Bourg",M10="Ville mineure",M10="Ville majeure",M10="Capitale"),CONCATENATE("La ville : ",N16," subit "),"")))))</f>
        <v xml:space="preserve">La ville : Ferme d'Odiil subit </v>
      </c>
    </row>
    <row r="160" spans="2:20" x14ac:dyDescent="0.2">
      <c r="B160" s="3" t="s">
        <v>50</v>
      </c>
      <c r="C160" s="22" t="s">
        <v>104</v>
      </c>
      <c r="D160" s="37">
        <v>90</v>
      </c>
      <c r="E160" s="35" t="s">
        <v>282</v>
      </c>
      <c r="F160" s="3">
        <f>IF(ISNUMBER(O80),O80,0)</f>
        <v>10</v>
      </c>
      <c r="G160" s="3">
        <f>IF(ISNUMBER(O81),O81,0)</f>
        <v>3</v>
      </c>
      <c r="H160" s="3" t="str">
        <f>IF(F160=G160,"Égalité",CONCATENATE("+",ABS(F160-G160)," pour "))</f>
        <v xml:space="preserve">+7 pour </v>
      </c>
      <c r="K160" s="3" t="s">
        <v>317</v>
      </c>
      <c r="L160" s="3" t="str">
        <f>IF(AND(L82&gt;12,N82=C66),"aucune",IF(M160=0,"",CONCATENATE(M160," % de")))</f>
        <v>10 % de</v>
      </c>
      <c r="M160" s="3">
        <f>IF(L159="",0,IF(AND(L82&gt;12,N82=C13),10,IF(AND(L82&gt;7,N82=C13),20,IF(AND(L82&gt;3,N82=C13),30,IF(OR(L82&lt;=3,L82="Égalité"),25,IF(AND(L82&gt;12,N82=C66),0,IF(AND(L82&gt;7,N82=C66),10,IF(AND(L82&gt;3,N82=C66),20,"0"))))))))</f>
        <v>10</v>
      </c>
    </row>
    <row r="161" spans="2:12" x14ac:dyDescent="0.2">
      <c r="B161" s="3" t="s">
        <v>56</v>
      </c>
      <c r="C161" s="22" t="s">
        <v>105</v>
      </c>
      <c r="D161" s="37">
        <v>85</v>
      </c>
      <c r="E161" s="35" t="s">
        <v>7</v>
      </c>
      <c r="F161" s="3">
        <f>F159+F160</f>
        <v>16</v>
      </c>
      <c r="G161" s="3">
        <f>G159+G160</f>
        <v>3</v>
      </c>
      <c r="H161" s="3" t="str">
        <f>IF(F160&gt;G160,C13,IF(F160&lt;G160,C66,""))</f>
        <v>Ayana</v>
      </c>
      <c r="K161" s="3" t="s">
        <v>327</v>
      </c>
      <c r="L161" s="3" t="str">
        <f>IF(L159="",""," pénalité")</f>
        <v xml:space="preserve"> pénalité</v>
      </c>
    </row>
    <row r="162" spans="2:12" x14ac:dyDescent="0.2">
      <c r="B162" s="3" t="s">
        <v>69</v>
      </c>
      <c r="C162" s="22" t="s">
        <v>106</v>
      </c>
      <c r="D162" s="37">
        <v>80</v>
      </c>
      <c r="L162" s="3" t="str">
        <f>IF(OR(M12-M160&lt;=0,L13="Info : Les forfitications étant inexistantes, les PV de murs seront ignorés."),"",". (Total : ")</f>
        <v xml:space="preserve">. (Total : </v>
      </c>
    </row>
    <row r="163" spans="2:12" x14ac:dyDescent="0.2">
      <c r="B163" s="3" t="s">
        <v>52</v>
      </c>
      <c r="C163" s="22" t="s">
        <v>107</v>
      </c>
      <c r="D163" s="37">
        <v>75</v>
      </c>
      <c r="F163" s="43" t="s">
        <v>296</v>
      </c>
      <c r="G163" s="3" t="s">
        <v>297</v>
      </c>
      <c r="H163" s="35" t="s">
        <v>300</v>
      </c>
      <c r="J163" s="3" t="str">
        <f>IF(OR(O90="",O91="",O90="Valeur Aucun dé",O91="Valeur Aucun dé",O90="Valeur 1D3 ?",O91="Valeur 1D3 ?",O90="Valeur 1D6 ?",O91="Valeur 1D6 ?",O90="Valeur 2D6 ?",O91="Valeur 2D6 ?",O90="Valeur 4D6 ?",O91="Valeur 4D6 ?",O90="Valeur 6D6 ?",O91="Valeur 6D6 ?",O90="Valeur 8D6 ?",O91="Valeur 8D6 ?",O90="Valeur 10D6 ?",O91="Valeur 10D6 ?",O90="Valeur 12D6 ?",O91="Valeur 12D6 ?"),"Test1Err","OK")</f>
        <v>OK</v>
      </c>
      <c r="K163" s="3" t="s">
        <v>328</v>
      </c>
      <c r="L163" s="3">
        <f>IF(M12-M160&lt;=0,"",IF(M12=0,"",IF(ISNUMBER(M12),IF(M10="Avant-Poste",80-M12+M160,IF(M10="Camp",150-M12+M160,IF(OR(M10="Bourg",M10="Ville mineure",M10="Ville majeure",M10="Capitale"),250-M12+M160,""))))))</f>
        <v>100</v>
      </c>
    </row>
    <row r="164" spans="2:12" x14ac:dyDescent="0.2">
      <c r="B164" s="3" t="s">
        <v>53</v>
      </c>
      <c r="C164" s="22" t="s">
        <v>108</v>
      </c>
      <c r="D164" s="37">
        <v>70</v>
      </c>
      <c r="H164" s="35" t="s">
        <v>303</v>
      </c>
      <c r="J164" s="3" t="str">
        <f>IF(OR(AND(F165="Lancé.0D",O90&lt;0),AND(F165="Lancé.1D3",O90&lt;1),AND(F165="Lancé.1D6",O90&lt;1),AND(F165="Lancé.2D6",O90&lt;2),AND(F165="Lancé.4D6",O90&lt;4),AND(F165="Lancé.6D6",O90&lt;6),AND(F165="Lancé.8D6",O90&lt;8),AND(F165="Lancé.10D6",O90&lt;10),AND(F165="Lancé.12D6",O90&lt;12)),"Test2Err","OK")</f>
        <v>OK</v>
      </c>
      <c r="L164" s="3" t="str">
        <f>IF(M12-M160&lt;=0,"",IF(L159="",""," % de dégâts.)"))</f>
        <v xml:space="preserve"> % de dégâts.)</v>
      </c>
    </row>
    <row r="165" spans="2:12" x14ac:dyDescent="0.2">
      <c r="B165" s="3" t="s">
        <v>57</v>
      </c>
      <c r="C165" s="22" t="s">
        <v>109</v>
      </c>
      <c r="D165" s="37">
        <v>65</v>
      </c>
      <c r="E165" s="35" t="s">
        <v>298</v>
      </c>
      <c r="F165" s="3" t="str">
        <f>IF(L88="Aucun dé","Lancé.0D",IF(L88="1 D3","Lancé.1D3",IF(L88="1 D6","Lancé.1D6",IF(L88="2 D6","Lancé.2D6",IF(L88="4 D6","Lancé.4D6",IF(L88="6 D6","Lancé.6D6",IF(L88="8 D6","Lancé.8D6",IF(L88="10 D6","Lancé.10D6",IF(L88="12 D6","Lancé.12D6","Erreur !")))))))))</f>
        <v>Lancé.1D3</v>
      </c>
      <c r="H165" s="35" t="s">
        <v>304</v>
      </c>
      <c r="J165" s="3" t="str">
        <f>IF(OR(AND(F166="Lancé.0D",O91&lt;0),AND(F166="Lancé.1D3",O91&lt;1),AND(F166="Lancé.1D6",O91&lt;1),AND(F166="Lancé.2D6",O91&lt;2),AND(F166="Lancé.4D6",O91&lt;4),AND(F166="Lancé.6D6",O91&lt;6),AND(F166="Lancé.8D6",O91&lt;8),AND(F166="Lancé.10D6",O91&lt;10),AND(F166="Lancé.12D6",O91&lt;12)),"Test3Err","OK")</f>
        <v>OK</v>
      </c>
      <c r="L165" s="3" t="str">
        <f>IF(AND(OR(M10="Bourg",M10="Ville mineure",M10="Ville majeure",M10="Capitale"),M12=0),CONCATENATE("La ville : ",N16," est totalement en ruines ! Aucun bâtiment ne subsiste !"),"")</f>
        <v/>
      </c>
    </row>
    <row r="166" spans="2:12" x14ac:dyDescent="0.2">
      <c r="B166" s="3" t="s">
        <v>55</v>
      </c>
      <c r="C166" s="22" t="s">
        <v>110</v>
      </c>
      <c r="D166" s="37">
        <v>60</v>
      </c>
      <c r="E166" s="35" t="s">
        <v>299</v>
      </c>
      <c r="F166" s="3" t="str">
        <f>IF(L89="Aucun dé","Lancé.0D",IF(L89="1 D3","Lancé.1D3",IF(L89="1 D6","Lancé.1D6",IF(L89="2 D6","Lancé.2D6",IF(L89="4 D6","Lancé.4D6",IF(L89="6 D6","Lancé.6D6",IF(L89="8 D6","Lancé.8D6",IF(L89="10 D6","Lancé.10D6",IF(L89="12 D6","Lancé.12D6","Erreur !")))))))))</f>
        <v>Lancé.10D6</v>
      </c>
      <c r="L166" s="3" t="str">
        <f>IF(AND(M12-M160&lt;=0,NOT(M12=0),OR(M10="Bourg",M10="Ville mineure",M10="Ville majeure",M10="Capitale")),CONCATENATE(" et est désormais en ruines. Tous les bâtiments sont détruits !",""),"")</f>
        <v/>
      </c>
    </row>
    <row r="167" spans="2:12" x14ac:dyDescent="0.2">
      <c r="B167" s="3" t="s">
        <v>54</v>
      </c>
      <c r="C167" s="22" t="s">
        <v>111</v>
      </c>
      <c r="D167" s="37">
        <v>55</v>
      </c>
      <c r="F167" s="35" t="s">
        <v>301</v>
      </c>
      <c r="G167" s="3" t="str">
        <f>IF(OR(AND(F165="Lancé.0D",O90&gt;0),AND(F165="Lancé.1D3",O90&gt;3),AND(F165="Lancé.1D6",O90&gt;6),AND(F165="Lancé.2D6",O90&gt;12),AND(F165="Lancé.4D6",O90&gt;24),AND(F165="Lancé.6D6",O90&gt;36),AND(F165="Lancé.8D6",O90&gt;48),AND(F165="Lancé.10D6",O90&gt;60),AND(F165="Lancé.12D6",O90&gt;72)),"Test4Err","OK")</f>
        <v>OK</v>
      </c>
      <c r="L167" s="3" t="str">
        <f>IF(AND(M12-M160&lt;=0,OR(M10="Avant-Poste",M10="Camp"))," et est désormais détruit ! Le round suivant sera donc en Plaine rase.","")</f>
        <v/>
      </c>
    </row>
    <row r="168" spans="2:12" x14ac:dyDescent="0.2">
      <c r="B168" s="3" t="s">
        <v>334</v>
      </c>
      <c r="C168" s="22" t="s">
        <v>112</v>
      </c>
      <c r="D168" s="37">
        <v>50</v>
      </c>
      <c r="F168" s="35" t="s">
        <v>302</v>
      </c>
      <c r="G168" s="3" t="str">
        <f>IF(OR(AND(F166="Lancé.0D",O91&gt;0),AND(F166="Lancé.1D3",O91&gt;3),AND(F166="Lancé.1D6",O91&gt;6),AND(F166="Lancé.2D6",O91&gt;12),AND(F166="Lancé.4D6",O91&gt;24),AND(F166="Lancé.6D6",O91&gt;36),AND(F166="Lancé.8D6",O91&gt;48),AND(F166="Lancé.10D6",O91&gt;60),AND(F166="Lancé.12D6",O91&gt;72)),"Test5Err","OK")</f>
        <v>OK</v>
      </c>
      <c r="H168" s="1" t="s">
        <v>288</v>
      </c>
      <c r="K168" s="1" t="s">
        <v>331</v>
      </c>
      <c r="L168" s="53"/>
    </row>
    <row r="169" spans="2:12" x14ac:dyDescent="0.2">
      <c r="B169" s="3" t="s">
        <v>58</v>
      </c>
      <c r="C169" s="22" t="s">
        <v>113</v>
      </c>
      <c r="D169" s="37">
        <v>45</v>
      </c>
      <c r="H169" s="3">
        <v>1</v>
      </c>
      <c r="K169" s="3" t="s">
        <v>330</v>
      </c>
      <c r="L169" s="53" t="str">
        <f>IF(AND(M14="Oui",L15="Conforme aux Règles du Wargame",M12-M160&lt;=0,M10="Capitale"),"Le Palais est détruit ! Le bonus de Murs tombe à +2 pour le round suivant.",IF(AND(M14="Oui",L15="Conforme aux Règles du Wargame",M12-M160&lt;=0,M10="Ville Majeure"),"Le Palais est détruit ! Le bonus de Murs tombe à +1 pour le round suivant.",""))</f>
        <v/>
      </c>
    </row>
    <row r="170" spans="2:12" x14ac:dyDescent="0.2">
      <c r="B170" s="3" t="s">
        <v>335</v>
      </c>
      <c r="C170" s="22" t="s">
        <v>114</v>
      </c>
      <c r="D170" s="37">
        <v>40</v>
      </c>
      <c r="H170" s="3">
        <v>2</v>
      </c>
      <c r="K170" s="3" t="str">
        <f>IF(AND(M14="Oui",L15="Conforme aux Règles du Wargame",M12-M160&lt;=0,M10="Capitale"),"Le Palais est détruit ! Le bonus de Murs tombe à +2 pour le round suivant.",IF(AND(M14="Oui",L15="Conforme aux Règles du Wargame",M12-M160&lt;=0,M10="Ville Majeure"),"Le Palais est détruit ! Le bonus de Murs tombe à +1 pour le round suivant.",""))</f>
        <v/>
      </c>
      <c r="L170" s="53" t="str">
        <f>IF(AND(M10="Camp",M12&gt;80,M12-M160&lt;=80),"Le Camp est endommagé et n'offira que +1 de Murs au round suivant !","")</f>
        <v/>
      </c>
    </row>
    <row r="171" spans="2:12" x14ac:dyDescent="0.2">
      <c r="B171" s="3" t="s">
        <v>51</v>
      </c>
      <c r="C171" s="22" t="s">
        <v>115</v>
      </c>
      <c r="D171" s="37">
        <v>35</v>
      </c>
      <c r="F171" s="1" t="s">
        <v>289</v>
      </c>
      <c r="H171" s="3">
        <v>3</v>
      </c>
      <c r="L171" s="53" t="str">
        <f>IF(AND(M10="Bourg",M12&gt;80,M12-M160&lt;=80),"Les fortifications du Bourg sont ravagées et n'offriront plus aucun bonus de Murs pour le round suivant !","")</f>
        <v/>
      </c>
    </row>
    <row r="172" spans="2:12" x14ac:dyDescent="0.2">
      <c r="B172" s="3" t="s">
        <v>183</v>
      </c>
      <c r="C172" s="22" t="s">
        <v>116</v>
      </c>
      <c r="D172" s="37">
        <v>30</v>
      </c>
      <c r="F172" s="3">
        <v>1</v>
      </c>
      <c r="H172" s="3">
        <v>4</v>
      </c>
      <c r="L172" s="3" t="str">
        <f>IF(AND(OR(M10="Bourg",M10="Ville mineure",M10="Ville majeure",M10="Capitale"),OR(AND(M12&gt;150,M12-M160&lt;=150),AND(M12&gt;80,M12-M160&lt;=80)),AND(L169="",L170="",L171="")),CONCATENATE("Les fortifications sont endommagées et le bonus de Murs tombe à +",L45-1," pour le round suivant."),"")</f>
        <v>Les fortifications sont endommagées et le bonus de Murs tombe à +1 pour le round suivant.</v>
      </c>
    </row>
    <row r="173" spans="2:12" x14ac:dyDescent="0.2">
      <c r="C173" s="22" t="s">
        <v>117</v>
      </c>
      <c r="D173" s="37">
        <v>25</v>
      </c>
      <c r="F173" s="3">
        <v>2</v>
      </c>
      <c r="H173" s="3">
        <v>5</v>
      </c>
      <c r="K173" s="1" t="s">
        <v>332</v>
      </c>
    </row>
    <row r="174" spans="2:12" x14ac:dyDescent="0.2">
      <c r="B174" s="3" t="s">
        <v>60</v>
      </c>
      <c r="C174" s="22" t="s">
        <v>118</v>
      </c>
      <c r="D174" s="37">
        <v>20</v>
      </c>
      <c r="F174" s="3">
        <v>3</v>
      </c>
      <c r="H174" s="3">
        <v>6</v>
      </c>
      <c r="L174" s="3" t="str">
        <f>IF(OR(AND(L82&gt;12,N82=C66),AND(O60="Faible",L82&gt;7,L82&lt;13,N82=C66),AND(O60="Très Faible",L82&gt;3,N82=C66)),"L'Armée du camp de ",IF(OR(AND(O60="Entamé",L82&gt;7,L82&lt;13,N82=C66),AND(O60="Faible",L82&gt;3,L82&lt;8,N82=C66)),"Les troupes du camp de ",IF(OR(AND(O60="OK",L82&gt;7,L82&lt;13,N82=C66),AND(O60="Entamé",L82&gt;3,L82&lt;8,N82=C66)),"Les troupes du camp de ",IF(AND(O60="OK",L82&gt;3,L82&lt;8,N82=C66),"Les troupes du camp de ",IF(AND(OR(O60="Entamé",O60="Faible",O60="Très Faible"),OR(L82&lt;=3,L82="Égalité",AND(L82&gt;3,N82=C13))),"L'issue de ce round a redonné courage aux troupes de ","")))))</f>
        <v/>
      </c>
    </row>
    <row r="175" spans="2:12" x14ac:dyDescent="0.2">
      <c r="C175" s="22" t="s">
        <v>119</v>
      </c>
      <c r="D175" s="37">
        <v>15</v>
      </c>
      <c r="L175" s="3" t="str">
        <f>IF(L174="","",C13)</f>
        <v/>
      </c>
    </row>
    <row r="176" spans="2:12" x14ac:dyDescent="0.2">
      <c r="B176" s="1" t="s">
        <v>189</v>
      </c>
      <c r="C176" s="22" t="s">
        <v>120</v>
      </c>
      <c r="D176" s="37">
        <v>10</v>
      </c>
      <c r="F176" s="1" t="s">
        <v>290</v>
      </c>
      <c r="H176" s="1" t="s">
        <v>295</v>
      </c>
      <c r="L176" s="3" t="str">
        <f>IF(OR(AND(L82&gt;12,N82=C66),AND(O60="Faible",L82&gt;7,L82&lt;13,N82=C66),AND(O60="Très Faible",L82&gt;3,N82=C66))," est Démoralisée et fuit le combat en hurlant !",IF(OR(AND(O60="Entamé",L82&gt;7,L82&lt;13,N82=C66),AND(O60="Faible",L82&gt;3,L82&lt;8,N82=C66))," ont désormais le Moral Très Faible ! La déroute n'est pas loin !",IF(OR(AND(O60="OK",L82&gt;7,L82&lt;13,N82=C66),AND(O60="Entamé",L82&gt;3,L82&lt;8,N82=C66))," ont désormais le Moral Faible !",IF(AND(O60="OK",L82&gt;3,L82&lt;8,N82=C66)," voient leur Moral Entamé par cette légère défaite.",IF(AND(OR(O60="Entamé",O60="Faible",O60="Très Faible"),OR(L82&lt;=3,L82="Égalité",AND(L82&gt;3,N82=C13))),", ce qui restaure leur Moral !","")))))</f>
        <v/>
      </c>
    </row>
    <row r="177" spans="2:17" x14ac:dyDescent="0.2">
      <c r="B177" s="3" t="s">
        <v>190</v>
      </c>
      <c r="C177" s="22" t="s">
        <v>121</v>
      </c>
      <c r="D177" s="3">
        <v>5</v>
      </c>
      <c r="F177" s="3">
        <v>4</v>
      </c>
      <c r="H177" s="3">
        <v>0</v>
      </c>
      <c r="L177" s="3" t="str">
        <f>IF(OR(AND(L82&gt;12,N82=C13),AND(O61="Faible",L82&gt;7,L82&lt;13,N82=C13),AND(O61="Très Faible",L82&gt;3,N82=C13)),"L'Armée du camp de ",IF(OR(AND(O61="Entamé",L82&gt;7,L82&lt;13,N82=C13),AND(O61="Faible",L82&gt;3,L82&lt;8,N82=C13)),"Les troupes du camp de ",IF(OR(AND(O61="OK",L82&gt;7,L82&lt;13,N82=C13),AND(O61="Entamé",L82&gt;3,L82&lt;8,N82=C13)),"Les troupes du camp de ",IF(AND(O61="OK",L82&gt;3,L82&lt;8,N82=C13),"Les troupes du camp de ",IF(AND(OR(O61="Entamé",O61="Faible",O61="Très Faible"),OR(L82&lt;=3,L82="Égalité",AND(L82&gt;3,N82=C66))),"L'issue de ce round a redonné courage aux troupes de ","")))))</f>
        <v xml:space="preserve">L'Armée du camp de </v>
      </c>
    </row>
    <row r="178" spans="2:17" x14ac:dyDescent="0.2">
      <c r="B178" s="3" t="s">
        <v>63</v>
      </c>
      <c r="C178" s="22" t="s">
        <v>122</v>
      </c>
      <c r="D178" s="3">
        <v>0</v>
      </c>
      <c r="F178" s="3">
        <v>5</v>
      </c>
      <c r="L178" s="3" t="str">
        <f>IF(L177="","",C66)</f>
        <v>Marius</v>
      </c>
    </row>
    <row r="179" spans="2:17" x14ac:dyDescent="0.2">
      <c r="B179" s="3" t="s">
        <v>62</v>
      </c>
      <c r="C179" s="22" t="s">
        <v>123</v>
      </c>
      <c r="F179" s="3">
        <v>6</v>
      </c>
      <c r="H179" s="43" t="s">
        <v>294</v>
      </c>
      <c r="L179" s="3" t="str">
        <f>IF(OR(AND(L82&gt;12,N82=C13),AND(O61="Faible",L82&gt;7,L82&lt;13,N82=C13),AND(O61="Très Faible",L82&gt;3,N82=C13))," est Démoralisée et fuit le combat en hurlant !",IF(OR(AND(O61="Entamé",L82&gt;7,L82&lt;13,N82=C13),AND(O61="Faible",L82&gt;3,L82&lt;8,N82=C13))," ont désormais le Moral Très Faible ! La déroute n'est pas loin !",IF(OR(AND(O61="OK",L82&gt;7,L82&lt;13,N82=C13),AND(O61="Entamé",L82&gt;3,L82&lt;8,N82=C13))," ont désormais le Moral Faible !",IF(AND(O61="OK",L82&gt;3,L82&lt;8,N82=C13)," voient leur Moral Entamé par cette légère défaite.",IF(AND(OR(O61="Entamé",O61="Faible",O61="Très Faible"),OR(L82&lt;=3,L82="Égalité",AND(L82&gt;3,N82=C66))),", ce qui restaure leur Moral !","")))))</f>
        <v xml:space="preserve"> est Démoralisée et fuit le combat en hurlant !</v>
      </c>
    </row>
    <row r="180" spans="2:17" x14ac:dyDescent="0.2">
      <c r="B180" s="3" t="s">
        <v>64</v>
      </c>
      <c r="C180" s="22" t="s">
        <v>124</v>
      </c>
      <c r="D180" s="1" t="s">
        <v>225</v>
      </c>
      <c r="F180" s="3">
        <v>7</v>
      </c>
      <c r="H180" s="3">
        <v>12</v>
      </c>
      <c r="L180" s="3" t="str">
        <f>IF(L176=" est Démoralisée et fuit le combat en hurlant !"," (Démoralisé)",IF(L176=" ont désormais le Moral Très Faible ! La déroute n'est pas loin !"," (Moral Très Faible)",IF(L176=" ont désormais le Moral Faible !"," (Moral Faible)",IF(L176=" voient leur Moral Entamé par cette légère défaite."," (Moral Entamé)",""))))</f>
        <v/>
      </c>
    </row>
    <row r="181" spans="2:17" x14ac:dyDescent="0.2">
      <c r="B181" s="3" t="s">
        <v>65</v>
      </c>
      <c r="C181" s="22" t="s">
        <v>125</v>
      </c>
      <c r="F181" s="3">
        <v>8</v>
      </c>
      <c r="H181" s="3">
        <v>13</v>
      </c>
      <c r="L181" s="3" t="str">
        <f>IF(L179=" est Démoralisée et fuit le combat en hurlant !"," (Démoralisé)",IF(L179=" ont désormais le Moral Très Faible ! La déroute n'est pas loin !"," (Moral Très Faible)",IF(L179=" ont désormais le Moral Faible !"," (Moral Faible)",IF(L179=" voient leur Moral Entamé par cette légère défaite."," (Moral Entamé)",""))))</f>
        <v xml:space="preserve"> (Démoralisé)</v>
      </c>
    </row>
    <row r="182" spans="2:17" x14ac:dyDescent="0.2">
      <c r="B182" s="3" t="s">
        <v>66</v>
      </c>
      <c r="C182" s="22" t="s">
        <v>126</v>
      </c>
      <c r="D182" s="31">
        <v>0</v>
      </c>
      <c r="F182" s="3">
        <v>9</v>
      </c>
      <c r="H182" s="3">
        <v>14</v>
      </c>
      <c r="J182" s="1" t="s">
        <v>351</v>
      </c>
      <c r="L182" s="1" t="s">
        <v>337</v>
      </c>
    </row>
    <row r="183" spans="2:17" x14ac:dyDescent="0.2">
      <c r="B183" s="3" t="s">
        <v>67</v>
      </c>
      <c r="C183" s="22" t="s">
        <v>127</v>
      </c>
      <c r="D183" s="31">
        <v>1</v>
      </c>
      <c r="F183" s="3">
        <v>10</v>
      </c>
      <c r="H183" s="3">
        <v>15</v>
      </c>
      <c r="J183" s="3">
        <f>IF(AND(ISNUMBER(X5),NOT(X5="")),X5,O94)</f>
        <v>3</v>
      </c>
      <c r="K183" s="3">
        <f>IF(AND(ISNUMBER(X6),NOT(X6="")),X6,O95)</f>
        <v>90</v>
      </c>
      <c r="L183" s="3" t="str">
        <f>IF(L186&gt;69," (Méga Ouch^^)",IF(L186&gt;39," (Ouch^^)",""))</f>
        <v/>
      </c>
    </row>
    <row r="184" spans="2:17" x14ac:dyDescent="0.2">
      <c r="B184" s="3" t="s">
        <v>68</v>
      </c>
      <c r="C184" s="22" t="s">
        <v>128</v>
      </c>
      <c r="D184" s="31">
        <v>2</v>
      </c>
      <c r="F184" s="3">
        <v>11</v>
      </c>
      <c r="H184" s="3">
        <v>16</v>
      </c>
      <c r="L184" s="3" t="str">
        <f>IF(L189&gt;69," (Méga Ouch^^)",IF(L189&gt;39," (Ouch^^)",""))</f>
        <v xml:space="preserve"> (Méga Ouch^^)</v>
      </c>
    </row>
    <row r="185" spans="2:17" x14ac:dyDescent="0.2">
      <c r="C185" s="22" t="s">
        <v>129</v>
      </c>
      <c r="D185" s="31">
        <v>3</v>
      </c>
      <c r="F185" s="3">
        <v>12</v>
      </c>
      <c r="H185" s="3">
        <v>17</v>
      </c>
      <c r="M185" s="3" t="s">
        <v>373</v>
      </c>
      <c r="N185" s="3" t="s">
        <v>376</v>
      </c>
      <c r="O185" s="3" t="s">
        <v>375</v>
      </c>
      <c r="P185" s="3" t="s">
        <v>374</v>
      </c>
    </row>
    <row r="186" spans="2:17" x14ac:dyDescent="0.2">
      <c r="B186" s="1" t="s">
        <v>189</v>
      </c>
      <c r="C186" s="22" t="s">
        <v>130</v>
      </c>
      <c r="D186" s="31">
        <v>4</v>
      </c>
      <c r="F186" s="3">
        <v>13</v>
      </c>
      <c r="H186" s="3">
        <v>18</v>
      </c>
      <c r="J186" s="3" t="s">
        <v>368</v>
      </c>
      <c r="L186" s="3">
        <f>IF(OR(W9="",W9="Normal"),J183,IF(W9="Retraite - Cas #1 ou poursuivants",0,IF(OR(W9="Retraite - Cas #2 sur terre ferme",W9="Retraite - Cas #2 sur mer"),J183*0.8,IF(OR(W9="Retraite - Cas #3 sur terre ferme",W9="Retraite - Cas #3 sur mer"),J183*0.5,IF(OR(W9="Retraite - Cas #4 sur terre ferme",W9="Retraite - Cas #4 sur mer"),J183*0.2,"Erreur !")))))</f>
        <v>3</v>
      </c>
      <c r="M186" s="63">
        <f>IF(L186&gt;100,100,L186)</f>
        <v>3</v>
      </c>
      <c r="N186" s="38">
        <f>ROUNDDOWN(M186,0)</f>
        <v>3</v>
      </c>
      <c r="O186" s="38">
        <f>ROUNDUP(M186,0)</f>
        <v>3</v>
      </c>
      <c r="P186" s="3" t="str">
        <f>IF(N186=O186,TEXT(M186,"# ##0"),TEXT(M186,"# ##0,0"))</f>
        <v>3</v>
      </c>
      <c r="Q186" s="3" t="str">
        <f>IF(NOT(P186=P187)," (","")</f>
        <v/>
      </c>
    </row>
    <row r="187" spans="2:17" x14ac:dyDescent="0.2">
      <c r="C187" s="22" t="s">
        <v>131</v>
      </c>
      <c r="D187" s="3" t="s">
        <v>226</v>
      </c>
      <c r="F187" s="3">
        <v>14</v>
      </c>
      <c r="H187" s="3">
        <v>19</v>
      </c>
      <c r="J187" s="3" t="s">
        <v>369</v>
      </c>
      <c r="L187" s="3">
        <f>IF(OR(W9="",W9="Normal"),J183,IF(W9="Retraite - Cas #1 ou poursuivants",0,IF(W9="Retraite - Cas #2 sur terre ferme",J183*0.4,IF(W9="Retraite - Cas #2 sur mer",J183*0.8,IF(W9="Retraite - Cas #3 sur terre ferme",J183*0.25,IF(W9="Retraite - Cas #3 sur mer",J183*0.5,IF(W9="Retraite - Cas #4 sur terre ferme",J183*0.1,IF(W9="Retraite - Cas #4 sur mer",J183*0.2,"Erreur !"))))))))</f>
        <v>3</v>
      </c>
      <c r="M187" s="63">
        <f t="shared" ref="M187:M191" si="16">IF(L187&gt;100,100,L187)</f>
        <v>3</v>
      </c>
      <c r="N187" s="38">
        <f>ROUNDDOWN(M187,0)</f>
        <v>3</v>
      </c>
      <c r="O187" s="38">
        <f>ROUNDUP(M187,0)</f>
        <v>3</v>
      </c>
      <c r="P187" s="3" t="str">
        <f>IF(N187=O187,TEXT(M187,"# ##0"),IF(AND(ISODD(J183),W9="Retraite - Cas #3 sur terre ferme"),TEXT(M187,"# ##0,00"),TEXT(M187,"# ##0,0")))</f>
        <v>3</v>
      </c>
      <c r="Q187" s="3" t="str">
        <f>IF(NOT(P186=P187),CONCATENATE(P187," % pour les Cavaliers, "),"")</f>
        <v/>
      </c>
    </row>
    <row r="188" spans="2:17" x14ac:dyDescent="0.2">
      <c r="B188" s="3" t="s">
        <v>63</v>
      </c>
      <c r="C188" s="22" t="s">
        <v>132</v>
      </c>
      <c r="F188" s="3">
        <v>15</v>
      </c>
      <c r="H188" s="3">
        <v>20</v>
      </c>
      <c r="J188" s="3" t="s">
        <v>370</v>
      </c>
      <c r="L188" s="3">
        <f>IF(OR(W9="",W9="Normal"),J183,IF(W9="Retraite - Cas #1 ou poursuivants",0,IF(W9="Retraite - Cas #2 sur terre ferme",J183*1.2,IF(W9="Retraite - Cas #2 sur mer",J183*0.8,IF(W9="Retraite - Cas #3 sur terre ferme",J183*0.75,IF(W9="Retraite - Cas #3 sur mer",J183*0.5,IF(W9="Retraite - Cas #4 sur terre ferme",J183*0.3,IF(W9="Retraite - Cas #4 sur mer",J183*0.2,"Erreur !"))))))))</f>
        <v>3</v>
      </c>
      <c r="M188" s="63">
        <f t="shared" si="16"/>
        <v>3</v>
      </c>
      <c r="N188" s="38">
        <f>ROUNDDOWN(M188,0)</f>
        <v>3</v>
      </c>
      <c r="O188" s="38">
        <f>ROUNDUP(M188,0)</f>
        <v>3</v>
      </c>
      <c r="P188" s="3" t="str">
        <f>IF(N188=O188,TEXT(M188,"# ##0"),IF(AND(ISODD(J183),W9="Retraite - Cas #3 sur terre ferme"),TEXT(M188,"# ##0,00"),TEXT(M188,"# ##0,0")))</f>
        <v>3</v>
      </c>
      <c r="Q188" s="3" t="str">
        <f>IF(NOT(P186=P187),CONCATENATE(P188," % pour les Unités de Siège)"),"")</f>
        <v/>
      </c>
    </row>
    <row r="189" spans="2:17" x14ac:dyDescent="0.2">
      <c r="B189" s="3" t="s">
        <v>62</v>
      </c>
      <c r="C189" s="22" t="s">
        <v>133</v>
      </c>
      <c r="D189" s="1" t="s">
        <v>222</v>
      </c>
      <c r="F189" s="3">
        <v>16</v>
      </c>
      <c r="G189" s="43" t="s">
        <v>293</v>
      </c>
      <c r="H189" s="3">
        <v>21</v>
      </c>
      <c r="J189" s="3" t="s">
        <v>371</v>
      </c>
      <c r="L189" s="3">
        <f>IF(OR(W10="",W10="Normal"),K183,IF(W10="Retraite - Cas #1 ou poursuivants",0,IF(OR(W10="Retraite - Cas #2 sur terre ferme",W10="Retraite - Cas #2 sur mer"),K183*0.8,IF(OR(W10="Retraite - Cas #3 sur terre ferme",W10="Retraite - Cas #3 sur mer"),K183*0.5,IF(OR(W10="Retraite - Cas #4 sur terre ferme",W10="Retraite - Cas #4 sur mer"),K183*0.2,"Erreur !")))))</f>
        <v>90</v>
      </c>
      <c r="M189" s="63">
        <f t="shared" si="16"/>
        <v>90</v>
      </c>
      <c r="N189" s="38">
        <f>ROUNDDOWN(M189,0)</f>
        <v>90</v>
      </c>
      <c r="O189" s="38">
        <f>ROUNDUP(M189,0)</f>
        <v>90</v>
      </c>
      <c r="P189" s="3" t="str">
        <f>IF(N189=O189,TEXT(M189,"# ##0"),TEXT(M189,"# ##0,0"))</f>
        <v>90</v>
      </c>
      <c r="Q189" s="3" t="str">
        <f>IF(NOT(P189=P190)," (","")</f>
        <v/>
      </c>
    </row>
    <row r="190" spans="2:17" x14ac:dyDescent="0.2">
      <c r="B190" s="3" t="s">
        <v>64</v>
      </c>
      <c r="C190" s="22" t="s">
        <v>134</v>
      </c>
      <c r="F190" s="3">
        <v>17</v>
      </c>
      <c r="G190" s="3">
        <v>10</v>
      </c>
      <c r="H190" s="3">
        <v>22</v>
      </c>
      <c r="J190" s="3" t="s">
        <v>369</v>
      </c>
      <c r="L190" s="3">
        <f>IF(OR(W10="",W10="Normal"),K183,IF(W10="Retraite - Cas #1 ou poursuivants",0,IF(W10="Retraite - Cas #2 sur terre ferme",K183*0.4,IF(W10="Retraite - Cas #2 sur mer",K183*0.8,IF(W10="Retraite - Cas #3 sur terre ferme",K183*0.25,IF(W10="Retraite - Cas #3 sur mer",K183*0.5,IF(W10="Retraite - Cas #4 sur terre ferme",K183*0.1,IF(W10="Retraite - Cas #4 sur mer",K183*0.2,"Erreur !"))))))))</f>
        <v>90</v>
      </c>
      <c r="M190" s="63">
        <f t="shared" si="16"/>
        <v>90</v>
      </c>
      <c r="N190" s="38">
        <f>ROUNDDOWN(M190,0)</f>
        <v>90</v>
      </c>
      <c r="O190" s="38">
        <f>ROUNDUP(M190,0)</f>
        <v>90</v>
      </c>
      <c r="P190" s="3" t="str">
        <f>IF(N190=O190,TEXT(M190,"# ##0"),IF(AND(ISODD(K183),W10="Retraite - Cas #3 sur terre ferme"),TEXT(M190,"# ##0,00"),TEXT(M190,"# ##0,0")))</f>
        <v>90</v>
      </c>
      <c r="Q190" s="3" t="str">
        <f>IF(NOT(P189=P190),CONCATENATE(P190," % pour les Cavaliers, "),"")</f>
        <v/>
      </c>
    </row>
    <row r="191" spans="2:17" x14ac:dyDescent="0.2">
      <c r="B191" s="3" t="s">
        <v>65</v>
      </c>
      <c r="C191" s="22" t="s">
        <v>326</v>
      </c>
      <c r="D191" s="30">
        <v>0</v>
      </c>
      <c r="F191" s="3">
        <v>18</v>
      </c>
      <c r="G191" s="3">
        <v>11</v>
      </c>
      <c r="H191" s="3">
        <v>23</v>
      </c>
      <c r="J191" s="3" t="s">
        <v>372</v>
      </c>
      <c r="L191" s="3">
        <f>IF(OR(W10="",W10="Normal"),K183,IF(W10="Retraite - Cas #1 ou poursuivants",0,IF(W10="Retraite - Cas #2 sur terre ferme",K183*1.2,IF(W10="Retraite - Cas #2 sur mer",K183*0.8,IF(W10="Retraite - Cas #3 sur terre ferme",K183*0.75,IF(W10="Retraite - Cas #3 sur mer",K183*0.5,IF(W10="Retraite - Cas #4 sur terre ferme",K183*0.3,IF(W10="Retraite - Cas #4 sur mer",K183*0.2,"Erreur !"))))))))</f>
        <v>90</v>
      </c>
      <c r="M191" s="63">
        <f t="shared" si="16"/>
        <v>90</v>
      </c>
      <c r="N191" s="38">
        <f>ROUNDDOWN(M191,0)</f>
        <v>90</v>
      </c>
      <c r="O191" s="38">
        <f>ROUNDUP(M191,0)</f>
        <v>90</v>
      </c>
      <c r="P191" s="3" t="str">
        <f>IF(N191=O191,TEXT(M191,"# ##0"),IF(AND(ISODD(K183),W10="Retraite - Cas #3 sur terre ferme"),TEXT(M191,"# ##0,00"),TEXT(M191,"# ##0,0")))</f>
        <v>90</v>
      </c>
      <c r="Q191" s="3" t="str">
        <f>IF(NOT(P189=P190),CONCATENATE(P191," % pour les Unités de Siège)"),"")</f>
        <v/>
      </c>
    </row>
    <row r="192" spans="2:17" x14ac:dyDescent="0.2">
      <c r="B192" s="3" t="s">
        <v>66</v>
      </c>
      <c r="C192" s="22" t="s">
        <v>135</v>
      </c>
      <c r="D192" s="30">
        <v>-1</v>
      </c>
      <c r="F192" s="3">
        <v>19</v>
      </c>
      <c r="G192" s="3">
        <v>12</v>
      </c>
      <c r="H192" s="3">
        <v>24</v>
      </c>
    </row>
    <row r="193" spans="2:8" x14ac:dyDescent="0.2">
      <c r="B193" s="3" t="s">
        <v>67</v>
      </c>
      <c r="C193" s="22" t="s">
        <v>136</v>
      </c>
      <c r="D193" s="30">
        <v>-2</v>
      </c>
      <c r="F193" s="3">
        <v>20</v>
      </c>
      <c r="G193" s="3">
        <v>13</v>
      </c>
      <c r="H193" s="3">
        <v>25</v>
      </c>
    </row>
    <row r="194" spans="2:8" x14ac:dyDescent="0.2">
      <c r="B194" s="3" t="s">
        <v>68</v>
      </c>
      <c r="C194" s="22" t="s">
        <v>137</v>
      </c>
      <c r="D194" s="30">
        <v>-3</v>
      </c>
      <c r="F194" s="3">
        <v>21</v>
      </c>
      <c r="G194" s="3">
        <v>14</v>
      </c>
      <c r="H194" s="3">
        <v>26</v>
      </c>
    </row>
    <row r="195" spans="2:8" x14ac:dyDescent="0.2">
      <c r="C195" s="22" t="s">
        <v>138</v>
      </c>
      <c r="F195" s="3">
        <v>22</v>
      </c>
      <c r="G195" s="3">
        <v>15</v>
      </c>
      <c r="H195" s="3">
        <v>27</v>
      </c>
    </row>
    <row r="196" spans="2:8" x14ac:dyDescent="0.2">
      <c r="B196" s="1" t="s">
        <v>191</v>
      </c>
      <c r="C196" s="22" t="s">
        <v>139</v>
      </c>
      <c r="D196" s="1" t="s">
        <v>278</v>
      </c>
      <c r="F196" s="3">
        <v>23</v>
      </c>
      <c r="G196" s="3">
        <v>16</v>
      </c>
      <c r="H196" s="3">
        <v>28</v>
      </c>
    </row>
    <row r="197" spans="2:8" x14ac:dyDescent="0.2">
      <c r="B197" s="3" t="s">
        <v>192</v>
      </c>
      <c r="C197" s="3" t="s">
        <v>197</v>
      </c>
      <c r="D197" s="3">
        <v>2</v>
      </c>
      <c r="F197" s="3">
        <v>24</v>
      </c>
      <c r="G197" s="3">
        <v>17</v>
      </c>
      <c r="H197" s="3">
        <v>29</v>
      </c>
    </row>
    <row r="198" spans="2:8" x14ac:dyDescent="0.2">
      <c r="B198" s="3" t="s">
        <v>193</v>
      </c>
      <c r="C198" s="1" t="s">
        <v>325</v>
      </c>
      <c r="D198" s="3">
        <v>3</v>
      </c>
      <c r="G198" s="3">
        <v>18</v>
      </c>
      <c r="H198" s="3">
        <v>30</v>
      </c>
    </row>
    <row r="199" spans="2:8" x14ac:dyDescent="0.2">
      <c r="B199" s="3" t="s">
        <v>194</v>
      </c>
      <c r="C199" s="23" t="s">
        <v>140</v>
      </c>
      <c r="D199" s="3">
        <v>4</v>
      </c>
      <c r="F199" s="43" t="s">
        <v>292</v>
      </c>
      <c r="G199" s="3">
        <v>19</v>
      </c>
      <c r="H199" s="3">
        <v>31</v>
      </c>
    </row>
    <row r="200" spans="2:8" x14ac:dyDescent="0.2">
      <c r="B200" s="3" t="s">
        <v>195</v>
      </c>
      <c r="C200" s="23" t="s">
        <v>141</v>
      </c>
      <c r="D200" s="3">
        <v>5</v>
      </c>
      <c r="F200" s="3">
        <v>8</v>
      </c>
      <c r="G200" s="3">
        <v>20</v>
      </c>
      <c r="H200" s="3">
        <v>32</v>
      </c>
    </row>
    <row r="201" spans="2:8" x14ac:dyDescent="0.2">
      <c r="C201" s="23" t="s">
        <v>142</v>
      </c>
      <c r="D201" s="3">
        <v>6</v>
      </c>
      <c r="F201" s="3">
        <v>9</v>
      </c>
      <c r="G201" s="3">
        <v>21</v>
      </c>
      <c r="H201" s="3">
        <v>33</v>
      </c>
    </row>
    <row r="202" spans="2:8" x14ac:dyDescent="0.2">
      <c r="B202" s="1" t="s">
        <v>191</v>
      </c>
      <c r="C202" s="23" t="s">
        <v>143</v>
      </c>
      <c r="D202" s="3">
        <v>7</v>
      </c>
      <c r="F202" s="3">
        <v>10</v>
      </c>
      <c r="G202" s="3">
        <v>22</v>
      </c>
      <c r="H202" s="3">
        <v>34</v>
      </c>
    </row>
    <row r="203" spans="2:8" x14ac:dyDescent="0.2">
      <c r="B203" s="3" t="s">
        <v>198</v>
      </c>
      <c r="C203" s="23" t="s">
        <v>144</v>
      </c>
      <c r="D203" s="3">
        <v>8</v>
      </c>
      <c r="F203" s="3">
        <v>11</v>
      </c>
      <c r="G203" s="3">
        <v>23</v>
      </c>
      <c r="H203" s="3">
        <v>35</v>
      </c>
    </row>
    <row r="204" spans="2:8" x14ac:dyDescent="0.2">
      <c r="B204" s="3" t="s">
        <v>196</v>
      </c>
      <c r="C204" s="23" t="s">
        <v>145</v>
      </c>
      <c r="D204" s="3">
        <v>9</v>
      </c>
      <c r="F204" s="3">
        <v>12</v>
      </c>
      <c r="G204" s="3">
        <v>24</v>
      </c>
      <c r="H204" s="3">
        <v>36</v>
      </c>
    </row>
    <row r="205" spans="2:8" x14ac:dyDescent="0.2">
      <c r="B205" s="3" t="s">
        <v>186</v>
      </c>
      <c r="C205" s="23" t="s">
        <v>146</v>
      </c>
      <c r="D205" s="37">
        <v>10</v>
      </c>
      <c r="F205" s="3">
        <v>13</v>
      </c>
      <c r="G205" s="3">
        <v>25</v>
      </c>
      <c r="H205" s="3">
        <v>37</v>
      </c>
    </row>
    <row r="206" spans="2:8" x14ac:dyDescent="0.2">
      <c r="C206" s="23" t="s">
        <v>147</v>
      </c>
      <c r="D206" s="37">
        <v>11</v>
      </c>
      <c r="F206" s="3">
        <v>14</v>
      </c>
      <c r="G206" s="3">
        <v>26</v>
      </c>
      <c r="H206" s="3">
        <v>38</v>
      </c>
    </row>
    <row r="207" spans="2:8" x14ac:dyDescent="0.2">
      <c r="B207" s="1" t="s">
        <v>191</v>
      </c>
      <c r="C207" s="23" t="s">
        <v>148</v>
      </c>
      <c r="D207" s="37">
        <v>12</v>
      </c>
      <c r="F207" s="3">
        <v>15</v>
      </c>
      <c r="G207" s="3">
        <v>27</v>
      </c>
      <c r="H207" s="3">
        <v>39</v>
      </c>
    </row>
    <row r="208" spans="2:8" x14ac:dyDescent="0.2">
      <c r="B208" s="3" t="s">
        <v>199</v>
      </c>
      <c r="C208" s="23" t="s">
        <v>149</v>
      </c>
      <c r="F208" s="3">
        <v>16</v>
      </c>
      <c r="G208" s="3">
        <v>28</v>
      </c>
      <c r="H208" s="3">
        <v>40</v>
      </c>
    </row>
    <row r="209" spans="2:8" x14ac:dyDescent="0.2">
      <c r="C209" s="23" t="s">
        <v>150</v>
      </c>
      <c r="D209" s="1" t="s">
        <v>291</v>
      </c>
      <c r="F209" s="3">
        <v>17</v>
      </c>
      <c r="G209" s="3">
        <v>29</v>
      </c>
      <c r="H209" s="3">
        <v>41</v>
      </c>
    </row>
    <row r="210" spans="2:8" x14ac:dyDescent="0.2">
      <c r="B210" s="1" t="s">
        <v>254</v>
      </c>
      <c r="C210" s="23" t="s">
        <v>151</v>
      </c>
      <c r="D210" s="3">
        <v>6</v>
      </c>
      <c r="F210" s="3">
        <v>18</v>
      </c>
      <c r="G210" s="3">
        <v>30</v>
      </c>
      <c r="H210" s="3">
        <v>42</v>
      </c>
    </row>
    <row r="211" spans="2:8" x14ac:dyDescent="0.2">
      <c r="B211" s="3" t="s">
        <v>255</v>
      </c>
      <c r="C211" s="23" t="s">
        <v>152</v>
      </c>
      <c r="D211" s="3">
        <v>7</v>
      </c>
      <c r="F211" s="3">
        <v>19</v>
      </c>
      <c r="G211" s="3">
        <v>31</v>
      </c>
      <c r="H211" s="3">
        <v>43</v>
      </c>
    </row>
    <row r="212" spans="2:8" x14ac:dyDescent="0.2">
      <c r="B212" s="3" t="s">
        <v>256</v>
      </c>
      <c r="C212" s="23" t="s">
        <v>153</v>
      </c>
      <c r="D212" s="3">
        <v>8</v>
      </c>
      <c r="F212" s="3">
        <v>20</v>
      </c>
      <c r="G212" s="3">
        <v>32</v>
      </c>
      <c r="H212" s="3">
        <v>44</v>
      </c>
    </row>
    <row r="213" spans="2:8" x14ac:dyDescent="0.2">
      <c r="B213" s="3" t="s">
        <v>257</v>
      </c>
      <c r="C213" s="23" t="s">
        <v>154</v>
      </c>
      <c r="D213" s="3">
        <v>9</v>
      </c>
      <c r="F213" s="3">
        <v>21</v>
      </c>
      <c r="G213" s="3">
        <v>33</v>
      </c>
      <c r="H213" s="3">
        <v>45</v>
      </c>
    </row>
    <row r="214" spans="2:8" x14ac:dyDescent="0.2">
      <c r="B214" s="3" t="s">
        <v>258</v>
      </c>
      <c r="C214" s="23" t="s">
        <v>155</v>
      </c>
      <c r="D214" s="37">
        <v>10</v>
      </c>
      <c r="F214" s="3">
        <v>22</v>
      </c>
      <c r="G214" s="3">
        <v>34</v>
      </c>
      <c r="H214" s="3">
        <v>46</v>
      </c>
    </row>
    <row r="215" spans="2:8" x14ac:dyDescent="0.2">
      <c r="B215" s="3" t="s">
        <v>259</v>
      </c>
      <c r="C215" s="23" t="s">
        <v>156</v>
      </c>
      <c r="D215" s="37">
        <v>11</v>
      </c>
      <c r="F215" s="3">
        <v>23</v>
      </c>
      <c r="G215" s="3">
        <v>35</v>
      </c>
      <c r="H215" s="3">
        <v>47</v>
      </c>
    </row>
    <row r="216" spans="2:8" x14ac:dyDescent="0.2">
      <c r="C216" s="23" t="s">
        <v>157</v>
      </c>
      <c r="D216" s="37">
        <v>12</v>
      </c>
      <c r="F216" s="3">
        <v>24</v>
      </c>
      <c r="G216" s="3">
        <v>36</v>
      </c>
      <c r="H216" s="3">
        <v>48</v>
      </c>
    </row>
    <row r="217" spans="2:8" x14ac:dyDescent="0.2">
      <c r="B217" s="1" t="s">
        <v>262</v>
      </c>
      <c r="C217" s="23" t="s">
        <v>158</v>
      </c>
      <c r="D217" s="37">
        <v>13</v>
      </c>
      <c r="F217" s="3">
        <v>25</v>
      </c>
      <c r="G217" s="3">
        <v>37</v>
      </c>
      <c r="H217" s="3">
        <v>49</v>
      </c>
    </row>
    <row r="218" spans="2:8" x14ac:dyDescent="0.2">
      <c r="B218" s="3">
        <v>1</v>
      </c>
      <c r="C218" s="23" t="s">
        <v>159</v>
      </c>
      <c r="D218" s="37">
        <v>14</v>
      </c>
      <c r="F218" s="3">
        <v>26</v>
      </c>
      <c r="G218" s="3">
        <v>38</v>
      </c>
      <c r="H218" s="3">
        <v>50</v>
      </c>
    </row>
    <row r="219" spans="2:8" x14ac:dyDescent="0.2">
      <c r="B219" s="3">
        <v>2</v>
      </c>
      <c r="C219" s="23" t="s">
        <v>160</v>
      </c>
      <c r="D219" s="37">
        <v>15</v>
      </c>
      <c r="F219" s="3">
        <v>27</v>
      </c>
      <c r="G219" s="3">
        <v>39</v>
      </c>
      <c r="H219" s="3">
        <v>51</v>
      </c>
    </row>
    <row r="220" spans="2:8" x14ac:dyDescent="0.2">
      <c r="B220" s="3">
        <v>3</v>
      </c>
      <c r="C220" s="23" t="s">
        <v>161</v>
      </c>
      <c r="D220" s="37">
        <v>16</v>
      </c>
      <c r="F220" s="3">
        <v>28</v>
      </c>
      <c r="G220" s="3">
        <v>40</v>
      </c>
      <c r="H220" s="3">
        <v>52</v>
      </c>
    </row>
    <row r="221" spans="2:8" x14ac:dyDescent="0.2">
      <c r="B221" s="3">
        <v>4</v>
      </c>
      <c r="C221" s="23" t="s">
        <v>162</v>
      </c>
      <c r="D221" s="37">
        <v>17</v>
      </c>
      <c r="F221" s="3">
        <v>29</v>
      </c>
      <c r="G221" s="3">
        <v>41</v>
      </c>
      <c r="H221" s="3">
        <v>53</v>
      </c>
    </row>
    <row r="222" spans="2:8" x14ac:dyDescent="0.2">
      <c r="B222" s="3">
        <v>5</v>
      </c>
      <c r="C222" s="23" t="s">
        <v>163</v>
      </c>
      <c r="D222" s="37">
        <v>18</v>
      </c>
      <c r="F222" s="3">
        <v>30</v>
      </c>
      <c r="G222" s="3">
        <v>42</v>
      </c>
      <c r="H222" s="3">
        <v>54</v>
      </c>
    </row>
    <row r="223" spans="2:8" x14ac:dyDescent="0.2">
      <c r="B223" s="3">
        <v>6</v>
      </c>
      <c r="C223" s="23" t="s">
        <v>164</v>
      </c>
      <c r="D223" s="37">
        <v>19</v>
      </c>
      <c r="F223" s="3">
        <v>31</v>
      </c>
      <c r="G223" s="3">
        <v>43</v>
      </c>
      <c r="H223" s="3">
        <v>55</v>
      </c>
    </row>
    <row r="224" spans="2:8" x14ac:dyDescent="0.2">
      <c r="B224" s="3">
        <v>7</v>
      </c>
      <c r="C224" s="23" t="s">
        <v>165</v>
      </c>
      <c r="D224" s="37">
        <v>20</v>
      </c>
      <c r="F224" s="3">
        <v>32</v>
      </c>
      <c r="G224" s="3">
        <v>44</v>
      </c>
      <c r="H224" s="3">
        <v>56</v>
      </c>
    </row>
    <row r="225" spans="2:8" x14ac:dyDescent="0.2">
      <c r="B225" s="3">
        <v>8</v>
      </c>
      <c r="C225" s="23" t="s">
        <v>166</v>
      </c>
      <c r="D225" s="37">
        <v>21</v>
      </c>
      <c r="F225" s="3">
        <v>33</v>
      </c>
      <c r="G225" s="3">
        <v>45</v>
      </c>
      <c r="H225" s="3">
        <v>57</v>
      </c>
    </row>
    <row r="226" spans="2:8" x14ac:dyDescent="0.2">
      <c r="B226" s="3">
        <v>9</v>
      </c>
      <c r="C226" s="23" t="s">
        <v>167</v>
      </c>
      <c r="D226" s="37">
        <v>22</v>
      </c>
      <c r="F226" s="3">
        <v>34</v>
      </c>
      <c r="G226" s="3">
        <v>46</v>
      </c>
      <c r="H226" s="3">
        <v>58</v>
      </c>
    </row>
    <row r="227" spans="2:8" x14ac:dyDescent="0.2">
      <c r="B227" s="3">
        <v>10</v>
      </c>
      <c r="C227" s="23" t="s">
        <v>168</v>
      </c>
      <c r="D227" s="37">
        <v>23</v>
      </c>
      <c r="F227" s="3">
        <v>35</v>
      </c>
      <c r="G227" s="3">
        <v>47</v>
      </c>
      <c r="H227" s="3">
        <v>59</v>
      </c>
    </row>
    <row r="228" spans="2:8" x14ac:dyDescent="0.2">
      <c r="B228" s="3">
        <v>11</v>
      </c>
      <c r="C228" s="23" t="s">
        <v>168</v>
      </c>
      <c r="D228" s="37">
        <v>24</v>
      </c>
      <c r="F228" s="3">
        <v>36</v>
      </c>
      <c r="G228" s="3">
        <v>48</v>
      </c>
      <c r="H228" s="3">
        <v>60</v>
      </c>
    </row>
    <row r="229" spans="2:8" x14ac:dyDescent="0.2">
      <c r="B229" s="3">
        <v>12</v>
      </c>
      <c r="C229" s="23" t="s">
        <v>169</v>
      </c>
      <c r="D229" s="37">
        <v>25</v>
      </c>
      <c r="F229" s="3">
        <v>37</v>
      </c>
      <c r="G229" s="3">
        <v>49</v>
      </c>
      <c r="H229" s="3">
        <v>61</v>
      </c>
    </row>
    <row r="230" spans="2:8" x14ac:dyDescent="0.2">
      <c r="B230" s="3">
        <v>13</v>
      </c>
      <c r="C230" s="23" t="s">
        <v>170</v>
      </c>
      <c r="D230" s="37">
        <v>26</v>
      </c>
      <c r="F230" s="3">
        <v>38</v>
      </c>
      <c r="G230" s="3">
        <v>50</v>
      </c>
      <c r="H230" s="3">
        <v>62</v>
      </c>
    </row>
    <row r="231" spans="2:8" x14ac:dyDescent="0.2">
      <c r="B231" s="3">
        <v>14</v>
      </c>
      <c r="C231" s="23" t="s">
        <v>171</v>
      </c>
      <c r="D231" s="37">
        <v>27</v>
      </c>
      <c r="F231" s="3">
        <v>39</v>
      </c>
      <c r="G231" s="3">
        <v>51</v>
      </c>
      <c r="H231" s="3">
        <v>63</v>
      </c>
    </row>
    <row r="232" spans="2:8" x14ac:dyDescent="0.2">
      <c r="B232" s="3">
        <v>15</v>
      </c>
      <c r="C232" s="23" t="s">
        <v>172</v>
      </c>
      <c r="D232" s="37">
        <v>28</v>
      </c>
      <c r="F232" s="3">
        <v>40</v>
      </c>
      <c r="G232" s="3">
        <v>52</v>
      </c>
      <c r="H232" s="3">
        <v>64</v>
      </c>
    </row>
    <row r="233" spans="2:8" x14ac:dyDescent="0.2">
      <c r="C233" s="23" t="s">
        <v>173</v>
      </c>
      <c r="D233" s="37">
        <v>29</v>
      </c>
      <c r="F233" s="3">
        <v>41</v>
      </c>
      <c r="G233" s="3">
        <v>53</v>
      </c>
      <c r="H233" s="3">
        <v>65</v>
      </c>
    </row>
    <row r="234" spans="2:8" x14ac:dyDescent="0.2">
      <c r="B234" s="1" t="s">
        <v>321</v>
      </c>
      <c r="C234" s="23" t="s">
        <v>174</v>
      </c>
      <c r="D234" s="37">
        <v>30</v>
      </c>
      <c r="F234" s="3">
        <v>42</v>
      </c>
      <c r="G234" s="3">
        <v>54</v>
      </c>
      <c r="H234" s="3">
        <v>66</v>
      </c>
    </row>
    <row r="235" spans="2:8" x14ac:dyDescent="0.2">
      <c r="B235" s="3" t="str">
        <f>IF(M10="Bourg","Bourgs",IF(M10="Ville mineure","Villes.min",IF(M10="Ville majeure","Villes.maj",IF(M10="Capitale","Capitales",""))))</f>
        <v>Bourgs</v>
      </c>
      <c r="C235" s="23" t="s">
        <v>175</v>
      </c>
      <c r="D235" s="37">
        <v>31</v>
      </c>
      <c r="F235" s="3">
        <v>43</v>
      </c>
      <c r="G235" s="3">
        <v>55</v>
      </c>
      <c r="H235" s="3">
        <v>67</v>
      </c>
    </row>
    <row r="236" spans="2:8" x14ac:dyDescent="0.2">
      <c r="C236" s="23" t="s">
        <v>176</v>
      </c>
      <c r="D236" s="37">
        <v>32</v>
      </c>
      <c r="F236" s="3">
        <v>44</v>
      </c>
      <c r="G236" s="3">
        <v>56</v>
      </c>
      <c r="H236" s="3">
        <v>68</v>
      </c>
    </row>
    <row r="237" spans="2:8" x14ac:dyDescent="0.2">
      <c r="C237" s="23" t="s">
        <v>177</v>
      </c>
      <c r="D237" s="37">
        <v>33</v>
      </c>
      <c r="F237" s="3">
        <v>45</v>
      </c>
      <c r="G237" s="3">
        <v>57</v>
      </c>
      <c r="H237" s="3">
        <v>69</v>
      </c>
    </row>
    <row r="238" spans="2:8" x14ac:dyDescent="0.2">
      <c r="C238" s="23" t="s">
        <v>178</v>
      </c>
      <c r="D238" s="37">
        <v>34</v>
      </c>
      <c r="F238" s="3">
        <v>46</v>
      </c>
      <c r="G238" s="3">
        <v>58</v>
      </c>
      <c r="H238" s="3">
        <v>70</v>
      </c>
    </row>
    <row r="239" spans="2:8" x14ac:dyDescent="0.2">
      <c r="C239" s="23" t="s">
        <v>179</v>
      </c>
      <c r="D239" s="37">
        <v>35</v>
      </c>
      <c r="F239" s="3">
        <v>47</v>
      </c>
      <c r="G239" s="3">
        <v>59</v>
      </c>
      <c r="H239" s="3">
        <v>71</v>
      </c>
    </row>
    <row r="240" spans="2:8" x14ac:dyDescent="0.2">
      <c r="D240" s="37">
        <v>36</v>
      </c>
      <c r="F240" s="3">
        <v>48</v>
      </c>
      <c r="G240" s="3">
        <v>60</v>
      </c>
      <c r="H240" s="3">
        <v>72</v>
      </c>
    </row>
  </sheetData>
  <sortState ref="B160:B170">
    <sortCondition ref="B160"/>
  </sortState>
  <mergeCells count="69">
    <mergeCell ref="X5:Y5"/>
    <mergeCell ref="X11:Y11"/>
    <mergeCell ref="X12:Y12"/>
    <mergeCell ref="W9:Y9"/>
    <mergeCell ref="W10:Y10"/>
    <mergeCell ref="X6:Y6"/>
    <mergeCell ref="B111:C111"/>
    <mergeCell ref="B94:H94"/>
    <mergeCell ref="B70:H70"/>
    <mergeCell ref="B53:H53"/>
    <mergeCell ref="E9:G9"/>
    <mergeCell ref="F80:G80"/>
    <mergeCell ref="F92:G92"/>
    <mergeCell ref="B106:H106"/>
    <mergeCell ref="C104:D104"/>
    <mergeCell ref="B99:C99"/>
    <mergeCell ref="C95:H95"/>
    <mergeCell ref="F104:G104"/>
    <mergeCell ref="F68:G68"/>
    <mergeCell ref="C92:D92"/>
    <mergeCell ref="C54:H54"/>
    <mergeCell ref="C71:H71"/>
    <mergeCell ref="E8:G8"/>
    <mergeCell ref="F15:G15"/>
    <mergeCell ref="F27:G27"/>
    <mergeCell ref="F39:G39"/>
    <mergeCell ref="F51:G51"/>
    <mergeCell ref="C42:H42"/>
    <mergeCell ref="B41:H41"/>
    <mergeCell ref="B22:C22"/>
    <mergeCell ref="B34:C34"/>
    <mergeCell ref="B46:C46"/>
    <mergeCell ref="C11:D11"/>
    <mergeCell ref="C15:D15"/>
    <mergeCell ref="J93:P93"/>
    <mergeCell ref="M83:N83"/>
    <mergeCell ref="O60:P60"/>
    <mergeCell ref="O61:P61"/>
    <mergeCell ref="L31:M31"/>
    <mergeCell ref="P56:Q56"/>
    <mergeCell ref="P57:Q57"/>
    <mergeCell ref="O62:P62"/>
    <mergeCell ref="O63:P63"/>
    <mergeCell ref="O71:P71"/>
    <mergeCell ref="O75:P75"/>
    <mergeCell ref="O76:P76"/>
    <mergeCell ref="O88:P88"/>
    <mergeCell ref="O89:P89"/>
    <mergeCell ref="L25:M25"/>
    <mergeCell ref="O37:P37"/>
    <mergeCell ref="O45:P45"/>
    <mergeCell ref="P48:Q48"/>
    <mergeCell ref="P49:Q49"/>
    <mergeCell ref="C83:H83"/>
    <mergeCell ref="C80:D80"/>
    <mergeCell ref="B82:H82"/>
    <mergeCell ref="N16:P16"/>
    <mergeCell ref="C107:H107"/>
    <mergeCell ref="C27:D27"/>
    <mergeCell ref="C39:D39"/>
    <mergeCell ref="C51:D51"/>
    <mergeCell ref="C68:D68"/>
    <mergeCell ref="B58:C58"/>
    <mergeCell ref="B75:C75"/>
    <mergeCell ref="B87:C87"/>
    <mergeCell ref="C18:H18"/>
    <mergeCell ref="C30:H30"/>
    <mergeCell ref="B17:H17"/>
    <mergeCell ref="B29:H29"/>
  </mergeCells>
  <conditionalFormatting sqref="D25:D26 V25:V26">
    <cfRule type="cellIs" dxfId="109" priority="43" operator="greaterThanOrEqual">
      <formula>25</formula>
    </cfRule>
    <cfRule type="cellIs" dxfId="108" priority="44" operator="lessThan">
      <formula>25</formula>
    </cfRule>
  </conditionalFormatting>
  <conditionalFormatting sqref="D37:D38">
    <cfRule type="cellIs" dxfId="107" priority="41" operator="greaterThanOrEqual">
      <formula>25</formula>
    </cfRule>
    <cfRule type="cellIs" dxfId="106" priority="42" operator="lessThan">
      <formula>25</formula>
    </cfRule>
  </conditionalFormatting>
  <conditionalFormatting sqref="D49:D50">
    <cfRule type="cellIs" dxfId="105" priority="39" operator="greaterThanOrEqual">
      <formula>25</formula>
    </cfRule>
    <cfRule type="cellIs" dxfId="104" priority="40" operator="lessThan">
      <formula>25</formula>
    </cfRule>
  </conditionalFormatting>
  <conditionalFormatting sqref="D78:D79">
    <cfRule type="cellIs" dxfId="103" priority="37" operator="greaterThanOrEqual">
      <formula>25</formula>
    </cfRule>
    <cfRule type="cellIs" dxfId="102" priority="38" operator="lessThan">
      <formula>25</formula>
    </cfRule>
  </conditionalFormatting>
  <conditionalFormatting sqref="D90:D91">
    <cfRule type="cellIs" dxfId="101" priority="35" operator="greaterThanOrEqual">
      <formula>25</formula>
    </cfRule>
    <cfRule type="cellIs" dxfId="100" priority="36" operator="lessThan">
      <formula>25</formula>
    </cfRule>
  </conditionalFormatting>
  <conditionalFormatting sqref="D102:D103">
    <cfRule type="cellIs" dxfId="99" priority="33" operator="greaterThanOrEqual">
      <formula>25</formula>
    </cfRule>
    <cfRule type="cellIs" dxfId="98" priority="34" operator="lessThan">
      <formula>25</formula>
    </cfRule>
  </conditionalFormatting>
  <conditionalFormatting sqref="E24 E36 E48 E60 E77 E89 E101 E113">
    <cfRule type="cellIs" dxfId="97" priority="31" operator="lessThan">
      <formula>25</formula>
    </cfRule>
    <cfRule type="cellIs" dxfId="96" priority="32" operator="greaterThanOrEqual">
      <formula>25</formula>
    </cfRule>
  </conditionalFormatting>
  <conditionalFormatting sqref="C11:D11">
    <cfRule type="containsText" dxfId="95" priority="30" operator="containsText" text="* Indiquez le lieu du combat *">
      <formula>NOT(ISERROR(SEARCH("* Indiquez le lieu du combat *",C11)))</formula>
    </cfRule>
  </conditionalFormatting>
  <conditionalFormatting sqref="M14">
    <cfRule type="containsText" dxfId="94" priority="28" operator="containsText" text="Non">
      <formula>NOT(ISERROR(SEARCH("Non",M14)))</formula>
    </cfRule>
    <cfRule type="containsText" dxfId="93" priority="29" operator="containsText" text="Oui">
      <formula>NOT(ISERROR(SEARCH("Oui",M14)))</formula>
    </cfRule>
  </conditionalFormatting>
  <conditionalFormatting sqref="O54:O55">
    <cfRule type="cellIs" dxfId="92" priority="26" operator="greaterThanOrEqual">
      <formula>25</formula>
    </cfRule>
    <cfRule type="cellIs" dxfId="91" priority="27" operator="lessThan">
      <formula>25</formula>
    </cfRule>
  </conditionalFormatting>
  <conditionalFormatting sqref="M70">
    <cfRule type="containsText" dxfId="90" priority="24" operator="containsText" text="Non">
      <formula>NOT(ISERROR(SEARCH("Non",M70)))</formula>
    </cfRule>
    <cfRule type="containsText" dxfId="89" priority="25" operator="containsText" text="Oui">
      <formula>NOT(ISERROR(SEARCH("Oui",M70)))</formula>
    </cfRule>
  </conditionalFormatting>
  <conditionalFormatting sqref="L9 L11 L13 J39 L64 L72 L15">
    <cfRule type="containsText" dxfId="88" priority="21" operator="containsText" text="Conforme">
      <formula>NOT(ISERROR(SEARCH("Conforme",J9)))</formula>
    </cfRule>
    <cfRule type="containsText" dxfId="87" priority="22" operator="containsText" text="Info :">
      <formula>NOT(ISERROR(SEARCH("Info :",J9)))</formula>
    </cfRule>
    <cfRule type="containsText" dxfId="86" priority="23" operator="containsText" text="Erreur">
      <formula>NOT(ISERROR(SEARCH("Erreur",J9)))</formula>
    </cfRule>
  </conditionalFormatting>
  <conditionalFormatting sqref="K69">
    <cfRule type="containsText" dxfId="85" priority="20" operator="containsText" text="Différence impaire">
      <formula>NOT(ISERROR(SEARCH("Différence impaire",K69)))</formula>
    </cfRule>
  </conditionalFormatting>
  <conditionalFormatting sqref="L84">
    <cfRule type="containsText" dxfId="84" priority="17" operator="containsText" text="Conforme">
      <formula>NOT(ISERROR(SEARCH("Conforme",L84)))</formula>
    </cfRule>
    <cfRule type="containsText" dxfId="83" priority="18" operator="containsText" text="Info :">
      <formula>NOT(ISERROR(SEARCH("Info :",L84)))</formula>
    </cfRule>
    <cfRule type="containsText" dxfId="82" priority="19" operator="containsText" text="Erreur">
      <formula>NOT(ISERROR(SEARCH("Erreur",L84)))</formula>
    </cfRule>
  </conditionalFormatting>
  <conditionalFormatting sqref="O80:O81">
    <cfRule type="containsText" dxfId="81" priority="16" operator="containsText" text="Valeur 2D6 ?">
      <formula>NOT(ISERROR(SEARCH("Valeur 2D6 ?",O80)))</formula>
    </cfRule>
  </conditionalFormatting>
  <conditionalFormatting sqref="J93">
    <cfRule type="containsText" dxfId="80" priority="13" operator="containsText" text="Conforme">
      <formula>NOT(ISERROR(SEARCH("Conforme",J93)))</formula>
    </cfRule>
    <cfRule type="containsText" dxfId="79" priority="14" operator="containsText" text="Info :">
      <formula>NOT(ISERROR(SEARCH("Info :",J93)))</formula>
    </cfRule>
    <cfRule type="containsText" dxfId="78" priority="15" operator="containsText" text="Erreur">
      <formula>NOT(ISERROR(SEARCH("Erreur",J93)))</formula>
    </cfRule>
  </conditionalFormatting>
  <conditionalFormatting sqref="V37:V38">
    <cfRule type="cellIs" dxfId="77" priority="9" operator="greaterThanOrEqual">
      <formula>25</formula>
    </cfRule>
    <cfRule type="cellIs" dxfId="76" priority="10" operator="lessThan">
      <formula>25</formula>
    </cfRule>
  </conditionalFormatting>
  <conditionalFormatting sqref="V49:V50">
    <cfRule type="cellIs" dxfId="75" priority="7" operator="greaterThanOrEqual">
      <formula>25</formula>
    </cfRule>
    <cfRule type="cellIs" dxfId="74" priority="8" operator="lessThan">
      <formula>25</formula>
    </cfRule>
  </conditionalFormatting>
  <conditionalFormatting sqref="V78:V79">
    <cfRule type="cellIs" dxfId="73" priority="5" operator="greaterThanOrEqual">
      <formula>25</formula>
    </cfRule>
    <cfRule type="cellIs" dxfId="72" priority="6" operator="lessThan">
      <formula>25</formula>
    </cfRule>
  </conditionalFormatting>
  <conditionalFormatting sqref="V90:V91">
    <cfRule type="cellIs" dxfId="71" priority="3" operator="greaterThanOrEqual">
      <formula>25</formula>
    </cfRule>
    <cfRule type="cellIs" dxfId="70" priority="4" operator="lessThan">
      <formula>25</formula>
    </cfRule>
  </conditionalFormatting>
  <conditionalFormatting sqref="V102:V103">
    <cfRule type="cellIs" dxfId="69" priority="1" operator="greaterThanOrEqual">
      <formula>25</formula>
    </cfRule>
    <cfRule type="cellIs" dxfId="68" priority="2" operator="lessThan">
      <formula>25</formula>
    </cfRule>
  </conditionalFormatting>
  <dataValidations xWindow="936" yWindow="620" count="30">
    <dataValidation type="list" allowBlank="1" showInputMessage="1" showErrorMessage="1" promptTitle="Indiquez votre Seigneurie" prompt="• Choisir la ville principale de la Seigneurie ayant recruté ces troupes._x000a_• Détermine le bonus de Combat à Domicile._x000a_• Laisser vide si pas d'armée." sqref="C15:D15 C27:D27 C39:D39 C51:D51 C68:D68 C80:D80 C92:D92 C104:D104">
      <formula1>Seigneurie</formula1>
    </dataValidation>
    <dataValidation allowBlank="1" showInputMessage="1" showErrorMessage="1" promptTitle="Indiquez le nom du PJ à Charisme" prompt="• Renseigner le ou les noms de vos PJ à Charisme présents dans cetre armée, en commencant par celui qui a titre correspondant à la case précédente._x000a_• Laisser VIDE si aucun PJ à Charisme ou si que général RP_x000a_• Sert juste pour le copier-coller sur le forum" sqref="C18:H18 C30:H30 C42:H42 C54:H54 C71:H71 C83:H83 C95:H95 C107:H107"/>
    <dataValidation type="list" allowBlank="1" showInputMessage="1" showErrorMessage="1" promptTitle="Indiquez le Rang de votre PJ" prompt="• Indiquer le titre de votre PJ le plus important._x000a_• Laisser vide si aucun PJ à Charisme n'est présent dans cette armée._x000a_• Mettre OBLIGATOIREMENT &quot;Vassal&quot; si le PJ octroie +1 de Charisme. (Même si c'est un Duc ou autre IG)_x000a_• Détermine le Bonus de Charisme" sqref="B18 B30 B42 B54 B71 B83 B95 B107">
      <formula1>Rang</formula1>
    </dataValidation>
    <dataValidation type="list" allowBlank="1" showInputMessage="1" showErrorMessage="1" promptTitle="Type de fortifications" prompt="• Indiquer le type de fortifications en faveur des défenseurs (qui sont à toujours lister en Camp n°2)._x000a_• La liste déroulante change selon le type de terrain (Plaine, Mer ou Siège) indiqué._x000a_• Détermine le bonus de Fortifications." sqref="M10">
      <formula1>INDIRECT(C11)</formula1>
    </dataValidation>
    <dataValidation type="list" allowBlank="1" showInputMessage="1" showErrorMessage="1" promptTitle="Indiquez le lieu du combat" prompt="• Précisez le lieu du combat (Plaine, Siège ou Mer)._x000a_• Déterminer le type de PU à prendre en compte pour le Ratio de Supériorité Numérique._x000a_• Détermine la liste des fortifications disponibles dans la Section 2." sqref="C11:D11">
      <formula1>Lieu</formula1>
    </dataValidation>
    <dataValidation type="list" allowBlank="1" showInputMessage="1" showErrorMessage="1" promptTitle="Province où à lieu la bataille" prompt="• Indiquer la province où se déroule la bataille._x000a_• Mette &quot;Terrain neutre&quot; si le combat a lieu en Mer ou sur une province non listée._x000a_• Si le combat est sur une frontière, renseigner la seconde case ci-dessous._x000a_• Détermine le bonus de Combat à Domicile." sqref="M6">
      <formula1>Province</formula1>
    </dataValidation>
    <dataValidation type="list" allowBlank="1" showInputMessage="1" showErrorMessage="1" promptTitle="Seconde province (si frontière)" prompt="• À renseigner uniquement si le combat se déroule sur une frontière nationale historique._x000a_• Laisser OBLIGATOIREMENT vide si ce n'est pas le cas._x000a_• Détermine le bonus de Combat à Domicile." sqref="M8">
      <formula1>Province2</formula1>
    </dataValidation>
    <dataValidation type="list" allowBlank="1" showInputMessage="1" showErrorMessage="1" promptTitle="Indiquez PV des forfitications" prompt="• Renseigner les PV des Murs pour ce round._x000a_• Entre 0 et 250 pour une ville._x000a_• Entre 0 et 150 pour un Camp._x000a_• Entre 0 et 80 pour un Avant-Poste._x000a_• Laisser obligatoirement vide ou 0 si Plaine rase ou Mer._x000a_• Détermine le bonus de Fortications." sqref="M12">
      <formula1>PV</formula1>
    </dataValidation>
    <dataValidation type="list" allowBlank="1" showInputMessage="1" showErrorMessage="1" promptTitle="Précisez si présence d'un Palais" prompt="• Indiquer si le Palais (Forteresse) est présent ou non. Si vous répondez &quot;Oui&quot; à tord, un message d'erreur s'affichera._x000a_• Détermine le bonus de Fortifications." sqref="M14">
      <formula1>"Oui,Non"</formula1>
    </dataValidation>
    <dataValidation type="list" allowBlank="1" showInputMessage="1" showErrorMessage="1" promptTitle="Note de Tactique du Camp n°2" prompt="• Renseignez la note de Tactique sur 4 du camp n°2 sans tenir compte d'une éventuelle pénalité de Retard._x000a_• Si Résolution Auto, mettre &quot;Réso Auto&quot; sur toutes les cases &quot;Bonus RP&quot; et &quot;Bonus Tactique&quot;._x000a_• Détermine la note finale de RP des défenseurs." sqref="L33">
      <formula1>Notes</formula1>
    </dataValidation>
    <dataValidation type="list" allowBlank="1" showInputMessage="1" showErrorMessage="1" promptTitle="Malus de Retard du Camp n°2" prompt="• Indiquez le Malus de Retard du camp des Défenseurs (de 0 à -3) en fonction de leur retard de postage (en général -1 par tranche de 24 heures IRL)._x000a_• Si Malus, bride la note maximale possible de ce camp._x000a_• Détermine la note finale de RP de ce camp." sqref="L34">
      <formula1>Retard</formula1>
    </dataValidation>
    <dataValidation allowBlank="1" showInputMessage="1" showErrorMessage="1" promptTitle="Nom du PJ principal de ce camp" prompt="• Indiquez le nom du Seigneur principal qui est à la tête de ce camp._x000a_• Sera le nom indiqué dans les phrases auto-remplies lors des calculs des bonus." sqref="C13 C66"/>
    <dataValidation type="list" allowBlank="1" showInputMessage="1" showErrorMessage="1" promptTitle="Note de RP pur du Camp n°1" prompt="• Renseignez la note de RP du camp n°1 (assaillants) sur 4 sans tenir compte d'une éventuelle pénalité de Retard._x000a_• Si Résolution Auto, mettre &quot;Réso Auto&quot; sur toutes les cases &quot;Bonus RP&quot; et &quot;Bonus Tactique&quot;._x000a_• Détermine la note finale de RP de ce camp." sqref="L26">
      <formula1>Notes</formula1>
    </dataValidation>
    <dataValidation type="list" allowBlank="1" showInputMessage="1" showErrorMessage="1" promptTitle="Note de RP pur du Camp n°2" prompt="• Renseignez la note de RP du camp n°2 (défenseurs) sur 4 sans tenir compte d'une éventuelle pénalité de Retard._x000a_• Si Résolution Auto, mettre &quot;Réso Auto&quot; sur toutes les cases &quot;Bonus RP&quot; et &quot;Bonus Tactique&quot;._x000a_• Détermine la note finale de RP de ce camp." sqref="L32">
      <formula1>Notes</formula1>
    </dataValidation>
    <dataValidation type="list" allowBlank="1" showInputMessage="1" showErrorMessage="1" promptTitle="Note de Tactique du Camp n°1" prompt="• Renseignez la note de Tactique sur 4 du camp n°1 sans tenir compte d'une éventuelle pénalité de Retard._x000a_• Si Résolution Auto, mettre &quot;Réso Auto&quot; sur toutes les cases &quot;Bonus RP&quot; et &quot;Bonus Tactique&quot;._x000a_• Détermine la note finale de RP des assaillants." sqref="L27">
      <formula1>Notes</formula1>
    </dataValidation>
    <dataValidation type="list" allowBlank="1" showInputMessage="1" showErrorMessage="1" promptTitle="Malus de Retard du Camp n°1" prompt="• Indiquez le Malus de Retard du camp des Assaillants (de 0 à -3) en fonction de leur retard de postage (en général -1 par tranche de 24 heures IRL)._x000a_• Si Malus, bride la note maximale possible de ce camp._x000a_• Détermine la note finale de RP de ce camp." sqref="L28">
      <formula1>Retard</formula1>
    </dataValidation>
    <dataValidation allowBlank="1" showInputMessage="1" showErrorMessage="1" promptTitle="Nom RP de l'armée seigneuriale" prompt="• Indiquez le nom du bataillon (si présent)._x000a_• Si l'armée ci-dessous est le fruit de la fusion de plusieurs bataillons d'une même Seigneurie, vous pouvez indiquer tous leurs noms sur la même ligne séparés par des &quot;+&quot;. Exemple : Légion I + Légion II." sqref="B94:H94 B17:H17 B29:H29 B41:H41 B53:H53 B70:H70 B82:H82 B106:H106"/>
    <dataValidation type="whole" operator="greaterThanOrEqual" allowBlank="1" showInputMessage="1" showErrorMessage="1" promptTitle="Nombre de Cavaliers" prompt="• Indiquez le nombre d'Unités de Cavalerie dans cette armée._x000a_• Détermine les PU totaux de cette armée et de ce camp, et par conséquent le Bonus de Ratio." sqref="B20 B32 B44 B56 B73 B85 B97 B109">
      <formula1>0</formula1>
    </dataValidation>
    <dataValidation type="whole" operator="greaterThanOrEqual" allowBlank="1" showInputMessage="1" showErrorMessage="1" promptTitle="Nombre d'Unités de Siège" prompt="• Indiquez le nombre_x000a_d'Unités de Siège dans cette armée._x000a_• Détermine les PU totaux de cette armée et de ce camp, et par conséquent le Bonus de Ratio." sqref="B21 B33 B45 B57 B74 B86 B98 B110">
      <formula1>0</formula1>
    </dataValidation>
    <dataValidation type="whole" operator="greaterThanOrEqual" allowBlank="1" showInputMessage="1" showErrorMessage="1" promptTitle="Nombre de Fantassins" prompt="• Indiquez le nombre d'Unités d'Infanterie dans cette armée._x000a_• Détermine les PU totaux de cette armée et de ce camp, et par conséquent le Bonus de Ratio." sqref="B19 B31 B43 B55 B72 B84 B96 B108">
      <formula1>0</formula1>
    </dataValidation>
    <dataValidation type="list" allowBlank="1" showInputMessage="1" showErrorMessage="1" prompt="• Indiquez le Moral des troupes du camp concerné._x000a_• Détermine le Malus de Moral" sqref="O60:P61">
      <formula1>Moral</formula1>
    </dataValidation>
    <dataValidation type="list" allowBlank="1" showInputMessage="1" showErrorMessage="1" promptTitle="Indiquer le Score de Statégie" prompt="• Renseignez le Score de Stratégie pris en compte pour ce Camp durant ce round. (Confer Règles du Wargame pour savoir quel niveau appliquer parmi ceux des Seigneurs éligibles.)_x000a_• Chiffre entier = à 1 minimum._x000a_• Détermine le Modificateur Stratégique." sqref="O67:O68">
      <formula1>Niveau</formula1>
    </dataValidation>
    <dataValidation type="list" allowBlank="1" showInputMessage="1" showErrorMessage="1" promptTitle="Valeur du D2 égale à 2 ?" prompt="• &quot;Oui&quot; si le D2 vaut 2._x000a_• &quot;Non&quot; si le D2 vaut 1._x000a_• Donnera 1 point bonus au plus expérimenté si &quot;Oui&quot; est répondu et que la différence de niveau est bien impaire." sqref="M70">
      <formula1>"Oui,Non"</formula1>
    </dataValidation>
    <dataValidation type="list" allowBlank="1" showInputMessage="1" showErrorMessage="1" promptTitle="Sélectionez valeur du 2D6" prompt="• Indiquer la somme du 2D6 jeté pour le Camp n°2._x000a_• Détermine le score final de ce round." sqref="O81">
      <formula1>Lancé.2D6</formula1>
    </dataValidation>
    <dataValidation type="list" allowBlank="1" showInputMessage="1" showErrorMessage="1" promptTitle="Sélectionez valeur du 2D6" prompt="• Indiquer la somme du 2D6 jeté pour le Camp n°1._x000a_• Détermine le score final de ce round." sqref="O80">
      <formula1>Lancé.2D6</formula1>
    </dataValidation>
    <dataValidation type="list" allowBlank="1" showInputMessage="1" showErrorMessage="1" promptTitle="Indiquez valeur du jet de pertes" prompt="• Liste auto-générée selon le nombre de dés à lancer. À renseigner obligatoirement !_x000a_• Vous pouvez aussi indiquer manuellement la valeur du jet en insérant le résultat adéquat._x000a_• Vérification par test de conformité._x000a_• Détermine le pourcentage de pertes." sqref="O90:O91">
      <formula1>INDIRECT(F165)</formula1>
    </dataValidation>
    <dataValidation type="list" allowBlank="1" showInputMessage="1" showErrorMessage="1" promptTitle="Indiquez la ville Assiégée" prompt="• Liste auto-générée selon le type de fortifications renseigné._x000a_• Sert juste pour l'auto-complètation des lignes à copier-coller sur le forum._x000a_• Sera ignoré si ce n'est pas un Siège (liste vierge)_x000a_• Test de Conformité non nécessaire (pas de calcul en jeu)" sqref="N16:P16">
      <formula1>INDIRECT(B235)</formula1>
    </dataValidation>
    <dataValidation type="list" allowBlank="1" showInputMessage="1" showErrorMessage="1" promptTitle="Mode de calcul des pertes" prompt="• Laissez vide ou sur &quot;Normal&quot; pour un calcul normal des pertes (aucune modif)._x000a_• Sinon, sélectionnez l'option adéquate. Elle appliquera alors un modificateur aux pertes de chaque camp." sqref="W9:W10">
      <formula1>Pertes</formula1>
    </dataValidation>
    <dataValidation type="list" allowBlank="1" showInputMessage="1" showErrorMessage="1" promptTitle="Indiquer le Mode de Combat" prompt="• Mode Fuite si le Camp 1 (assaillants) a déclaré en 1er la Retraite (même partielle)._x000a_• Mode Poursuite si c'est le Camp 2 (défenseurs)._x000a_• Laisser vide ou sur &quot;Normal&quot; pour une résolution classique._x000a_• Détermine le total des PU, et donc le Bonus de Ratio." sqref="E8:G8">
      <formula1>Mode.combat</formula1>
    </dataValidation>
    <dataValidation type="whole" allowBlank="1" showInputMessage="1" showErrorMessage="1" promptTitle="Calcul des pertes manuel" prompt="• À renseigner uniquement si vous souhaitez un calcul manuel des pertes._x000a_• Laissez VIDE pour laisser le calcul des pertes automatique._x000a_• Iniquez les pertes de base (et non celles modifiées après cas de Retraite.)_x000a_• Obligatoirement un nombre entier." sqref="X5:Y6">
      <formula1>0</formula1>
      <formula2>150</formula2>
    </dataValidation>
  </dataValidations>
  <pageMargins left="0.7" right="0.7" top="0.75" bottom="0.75" header="0.3" footer="0.3"/>
  <pageSetup paperSize="9" orientation="portrait" r:id="rId1"/>
  <ignoredErrors>
    <ignoredError sqref="E20 E32 E44 E56 E73 E97 E109 E85 P142:P144 Q142:Q14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0"/>
  <sheetViews>
    <sheetView topLeftCell="A64" workbookViewId="0">
      <selection activeCell="M108" sqref="M108"/>
    </sheetView>
  </sheetViews>
  <sheetFormatPr baseColWidth="10" defaultRowHeight="14.25" x14ac:dyDescent="0.2"/>
  <cols>
    <col min="1" max="1" width="2.28515625" style="3" customWidth="1"/>
    <col min="2" max="2" width="12.28515625" style="3" customWidth="1"/>
    <col min="3" max="3" width="26.28515625" style="3" customWidth="1"/>
    <col min="4" max="4" width="2.5703125" style="3" customWidth="1"/>
    <col min="5" max="5" width="11.42578125" style="3" customWidth="1"/>
    <col min="6" max="6" width="7.5703125" style="3" customWidth="1"/>
    <col min="7" max="7" width="11.85546875" style="3" customWidth="1"/>
    <col min="8" max="8" width="16.85546875" style="3" customWidth="1"/>
    <col min="9" max="9" width="0.85546875" style="3" customWidth="1"/>
    <col min="10" max="10" width="11.28515625" style="3" customWidth="1"/>
    <col min="11" max="11" width="11.42578125" style="3" customWidth="1"/>
    <col min="12" max="12" width="11.42578125" style="3"/>
    <col min="13" max="13" width="14.28515625" style="3" customWidth="1"/>
    <col min="14" max="14" width="11.42578125" style="3"/>
    <col min="15" max="15" width="14.28515625" style="3" customWidth="1"/>
    <col min="16" max="17" width="11.42578125" style="3"/>
    <col min="18" max="18" width="0.85546875" style="3" customWidth="1"/>
    <col min="19" max="19" width="2" style="3" customWidth="1"/>
    <col min="20" max="20" width="10" style="3" customWidth="1"/>
    <col min="21" max="21" width="3.7109375" style="3" customWidth="1"/>
    <col min="22" max="22" width="10.42578125" style="3" customWidth="1"/>
    <col min="23" max="23" width="26.28515625" style="3" customWidth="1"/>
    <col min="24" max="24" width="3.7109375" style="3" customWidth="1"/>
    <col min="25" max="25" width="2.5703125" style="3" customWidth="1"/>
    <col min="26" max="26" width="12.28515625" style="3" customWidth="1"/>
    <col min="27" max="27" width="7.5703125" style="3" customWidth="1"/>
    <col min="28" max="16384" width="11.42578125" style="3"/>
  </cols>
  <sheetData>
    <row r="1" spans="1:29" ht="15" thickTop="1" x14ac:dyDescent="0.2">
      <c r="A1" s="1" t="s">
        <v>3</v>
      </c>
      <c r="B1" s="1"/>
      <c r="C1" s="1"/>
      <c r="D1" s="1"/>
      <c r="E1" s="1"/>
      <c r="F1" s="1"/>
      <c r="G1" s="1"/>
      <c r="I1" s="18"/>
      <c r="J1" s="58" t="s">
        <v>75</v>
      </c>
      <c r="K1" s="5"/>
      <c r="L1" s="5"/>
      <c r="M1" s="5"/>
      <c r="N1" s="5"/>
      <c r="O1" s="5"/>
      <c r="P1" s="5"/>
      <c r="Q1" s="5"/>
      <c r="R1" s="20"/>
      <c r="S1" s="32" t="s">
        <v>336</v>
      </c>
    </row>
    <row r="2" spans="1:29" ht="15" thickBot="1" x14ac:dyDescent="0.25">
      <c r="A2" s="2" t="s">
        <v>0</v>
      </c>
      <c r="B2" s="2"/>
      <c r="C2" s="2"/>
      <c r="D2" s="2"/>
      <c r="E2" s="2"/>
      <c r="F2" s="2"/>
      <c r="I2" s="18"/>
      <c r="J2" s="25" t="s">
        <v>74</v>
      </c>
      <c r="K2" s="25"/>
      <c r="L2" s="25"/>
      <c r="M2" s="25"/>
      <c r="N2" s="25"/>
      <c r="R2" s="20"/>
      <c r="S2" s="45" t="s">
        <v>345</v>
      </c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15" thickTop="1" x14ac:dyDescent="0.2">
      <c r="A3" s="4" t="s">
        <v>1</v>
      </c>
      <c r="B3" s="4"/>
      <c r="C3" s="4"/>
      <c r="D3" s="4"/>
      <c r="E3" s="4"/>
      <c r="F3" s="4"/>
      <c r="G3" s="4"/>
      <c r="I3" s="18"/>
      <c r="J3" s="25" t="s">
        <v>217</v>
      </c>
      <c r="K3" s="25"/>
      <c r="L3" s="25"/>
      <c r="M3" s="25"/>
      <c r="N3" s="25"/>
      <c r="R3" s="20"/>
      <c r="S3" s="60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29" ht="15" thickBot="1" x14ac:dyDescent="0.25">
      <c r="A4" s="4" t="s">
        <v>2</v>
      </c>
      <c r="B4" s="4"/>
      <c r="C4" s="4"/>
      <c r="D4" s="4"/>
      <c r="E4" s="4"/>
      <c r="F4" s="4"/>
      <c r="G4" s="4"/>
      <c r="I4" s="20"/>
      <c r="J4" s="45" t="s">
        <v>309</v>
      </c>
      <c r="K4" s="6"/>
      <c r="L4" s="6"/>
      <c r="M4" s="6"/>
      <c r="N4" s="6"/>
      <c r="O4" s="6"/>
      <c r="P4" s="6"/>
      <c r="Q4" s="6"/>
      <c r="R4" s="20"/>
      <c r="S4" s="3" t="s">
        <v>342</v>
      </c>
    </row>
    <row r="5" spans="1:29" ht="15" thickTop="1" x14ac:dyDescent="0.2">
      <c r="A5" s="58" t="s">
        <v>76</v>
      </c>
      <c r="B5" s="5"/>
      <c r="C5" s="5"/>
      <c r="D5" s="5"/>
      <c r="E5" s="5"/>
      <c r="F5" s="5"/>
      <c r="G5" s="5"/>
      <c r="H5" s="5"/>
      <c r="I5" s="20"/>
      <c r="R5" s="20"/>
      <c r="S5" s="3" t="str">
        <f>CONCATENATE("Pertes manuelles du camp de ",C13," :")</f>
        <v>Pertes manuelles du camp de Marius Valga :</v>
      </c>
      <c r="X5" s="72"/>
      <c r="Y5" s="72"/>
      <c r="Z5" s="3" t="s">
        <v>346</v>
      </c>
    </row>
    <row r="6" spans="1:29" x14ac:dyDescent="0.2">
      <c r="A6" s="3" t="s">
        <v>362</v>
      </c>
      <c r="I6" s="20"/>
      <c r="J6" s="3" t="s">
        <v>180</v>
      </c>
      <c r="M6" s="11" t="s">
        <v>65</v>
      </c>
      <c r="R6" s="20"/>
      <c r="S6" s="3" t="str">
        <f>CONCATENATE("Pertes manuelles du camp de ",C66," :")</f>
        <v>Pertes manuelles du camp de Hasell :</v>
      </c>
      <c r="X6" s="72"/>
      <c r="Y6" s="72"/>
      <c r="Z6" s="3" t="s">
        <v>346</v>
      </c>
    </row>
    <row r="7" spans="1:29" ht="15" thickBot="1" x14ac:dyDescent="0.25">
      <c r="A7" s="6" t="s">
        <v>212</v>
      </c>
      <c r="B7" s="6"/>
      <c r="C7" s="6"/>
      <c r="D7" s="6"/>
      <c r="E7" s="6"/>
      <c r="F7" s="6"/>
      <c r="G7" s="6"/>
      <c r="H7" s="6"/>
      <c r="I7" s="20"/>
      <c r="J7" s="3" t="s">
        <v>201</v>
      </c>
      <c r="R7" s="20"/>
      <c r="S7" s="3" t="s">
        <v>341</v>
      </c>
    </row>
    <row r="8" spans="1:29" ht="15.75" customHeight="1" thickTop="1" x14ac:dyDescent="0.2">
      <c r="A8" s="25"/>
      <c r="C8" s="43" t="s">
        <v>358</v>
      </c>
      <c r="D8" s="25"/>
      <c r="E8" s="69" t="s">
        <v>343</v>
      </c>
      <c r="F8" s="69"/>
      <c r="G8" s="69"/>
      <c r="H8" s="25"/>
      <c r="I8" s="20"/>
      <c r="J8" s="3" t="s">
        <v>202</v>
      </c>
      <c r="M8" s="11"/>
      <c r="R8" s="20"/>
      <c r="S8" s="59" t="s">
        <v>347</v>
      </c>
      <c r="T8" s="25"/>
      <c r="U8" s="25"/>
      <c r="V8" s="25"/>
      <c r="W8" s="25"/>
      <c r="X8" s="25"/>
      <c r="Y8" s="25"/>
      <c r="Z8" s="25"/>
      <c r="AA8" s="25"/>
    </row>
    <row r="9" spans="1:29" x14ac:dyDescent="0.2">
      <c r="E9" s="68" t="str">
        <f>IF(OR(E8="",E8="Normal"),"(Normal pour le Camp 2)",IF(E8="Mode Poursuite","(Fuite pour le Camp 2)","(Poursuite pour le Camp 2)"))</f>
        <v>(Normal pour le Camp 2)</v>
      </c>
      <c r="F9" s="68"/>
      <c r="G9" s="68"/>
      <c r="I9" s="20"/>
      <c r="J9" s="2" t="s">
        <v>213</v>
      </c>
      <c r="L9" s="24" t="str">
        <f>IF(M6="* Renseignez la province *","Erreur : Merci de renseigner la région où a lieu le combat !",IF(M8="* Renseignez la province *","Info : Merci de renseigner la seconde région ou de la laisser vide.",IF(M6=M8,"Erreur : vous avez indiqué deux fois la même province !",IF(AND(M6="Terrain neutre",NOT(M8="")),"Erreur : province à renseigner sur le premier champ et non le second !",IF(AND(NOT(M8=""),NOT(C11="Plaine")),"Erreur : Seul un combat en plaine peut se dérouler sur une frontière !",IF(AND(C11="Mer",NOT(M6="Terrain neutre")),"Erreur : Un combat en mer se déroule obligatoirement en terrain neutre !","Conforme aux Règles du Wargame"))))))</f>
        <v>Conforme aux Règles du Wargame</v>
      </c>
      <c r="M9" s="24"/>
      <c r="N9" s="24"/>
      <c r="O9" s="24"/>
      <c r="P9" s="24"/>
      <c r="Q9" s="24"/>
      <c r="R9" s="20"/>
      <c r="S9" s="25" t="s">
        <v>349</v>
      </c>
      <c r="T9" s="25"/>
      <c r="U9" s="25"/>
      <c r="V9" s="25"/>
      <c r="W9" s="74" t="s">
        <v>343</v>
      </c>
      <c r="X9" s="74"/>
      <c r="Y9" s="74"/>
      <c r="AA9" s="25"/>
    </row>
    <row r="10" spans="1:29" x14ac:dyDescent="0.2">
      <c r="A10" s="62" t="s">
        <v>363</v>
      </c>
      <c r="B10" s="61"/>
      <c r="C10" s="61"/>
      <c r="D10" s="61"/>
      <c r="E10" s="61"/>
      <c r="F10" s="61"/>
      <c r="G10" s="61"/>
      <c r="H10" s="61"/>
      <c r="I10" s="18"/>
      <c r="J10" s="3" t="s">
        <v>200</v>
      </c>
      <c r="M10" s="11" t="s">
        <v>195</v>
      </c>
      <c r="R10" s="20"/>
      <c r="S10" s="3" t="s">
        <v>350</v>
      </c>
      <c r="W10" s="65" t="s">
        <v>343</v>
      </c>
      <c r="X10" s="65"/>
      <c r="Y10" s="65"/>
    </row>
    <row r="11" spans="1:29" x14ac:dyDescent="0.2">
      <c r="A11" s="3" t="s">
        <v>4</v>
      </c>
      <c r="C11" s="65" t="s">
        <v>46</v>
      </c>
      <c r="D11" s="65"/>
      <c r="E11" s="3" t="s">
        <v>48</v>
      </c>
      <c r="I11" s="18"/>
      <c r="J11" s="2" t="s">
        <v>213</v>
      </c>
      <c r="L11" s="24" t="str">
        <f>IF(OR(C11="* Indiquez le lieu du combat *",C11=""),"Erreur critique : précisez impérativement le type de terrain en C9 !!!",IF(M10="* Définir Fortifications *","Info : Merci de préciser le type de fortifications.",IF(OR(AND(C11="Mer",NOT(M10="Haute-Mer")),AND(C11="Siège",NOT(OR(M10="Capitale",M10="Ville majeure",M10="Ville mineure",M10="Bourg"))),AND(C11="Plaine",NOT(OR(M10="Plaine rase",M10="Avant-Poste",M10="Camp")))),"Erreur : non concordance entre le terrain et le type de fortifications !","Conforme aux Règles du Wargame")))</f>
        <v>Conforme aux Règles du Wargame</v>
      </c>
      <c r="M11" s="24"/>
      <c r="N11" s="24"/>
      <c r="O11" s="24"/>
      <c r="P11" s="24"/>
      <c r="Q11" s="24"/>
      <c r="R11" s="20"/>
      <c r="S11" s="3" t="str">
        <f>CONCATENATE("Pertes retenues pour le camp de ",C13," :")</f>
        <v>Pertes retenues pour le camp de Marius Valga :</v>
      </c>
      <c r="X11" s="73" t="str">
        <f>P186</f>
        <v>0</v>
      </c>
      <c r="Y11" s="68"/>
      <c r="Z11" s="3" t="str">
        <f>CONCATENATE("% de pertes",,Q186,Q187,Q188)</f>
        <v>% de pertes</v>
      </c>
    </row>
    <row r="12" spans="1:29" x14ac:dyDescent="0.2">
      <c r="I12" s="18"/>
      <c r="J12" s="3" t="s">
        <v>203</v>
      </c>
      <c r="M12" s="11">
        <v>220</v>
      </c>
      <c r="N12" s="3" t="s">
        <v>209</v>
      </c>
      <c r="R12" s="20"/>
      <c r="S12" s="3" t="str">
        <f>CONCATENATE("Pertes retenues pour le camp de ",C66," :")</f>
        <v>Pertes retenues pour le camp de Hasell :</v>
      </c>
      <c r="X12" s="68" t="str">
        <f>P189</f>
        <v>82</v>
      </c>
      <c r="Y12" s="68"/>
      <c r="Z12" s="3" t="str">
        <f>CONCATENATE("% de pertes",Q189,Q190,Q191)</f>
        <v>% de pertes</v>
      </c>
    </row>
    <row r="13" spans="1:29" ht="15" thickBot="1" x14ac:dyDescent="0.25">
      <c r="B13" s="3" t="s">
        <v>20</v>
      </c>
      <c r="C13" s="11" t="s">
        <v>364</v>
      </c>
      <c r="I13" s="18"/>
      <c r="J13" s="2" t="s">
        <v>213</v>
      </c>
      <c r="L13" s="24" t="str">
        <f>IF(M12="PV Murs ?","Erreur : Merci de préciser les PV des Murs !",IF(AND(M12&gt;0,OR(M10="Haute-Mer",M10="Plaine rase")),"Info : Les forfitications étant inexistantes, les PV de murs seront ignorés.",IF(AND(NOT(OR(M10="Haute-Mer",M10="Plaine rase")),M12=""),"Erreur : PV de vos fortifications non définis !",IF(AND(M12&gt;80,M10="Avant-Poste"),"Erreur : Un Avant-Poste ne peut avoir que 80 PV maximum !",IF(AND(M12&gt;150,M10="Camp"),"Erreur : Un Camp ne peut avoir que 150 PV maximum !","Conforme aux Règles du Wargame")))))</f>
        <v>Conforme aux Règles du Wargame</v>
      </c>
      <c r="M13" s="24"/>
      <c r="N13" s="24"/>
      <c r="O13" s="24"/>
      <c r="P13" s="24"/>
      <c r="Q13" s="24"/>
      <c r="R13" s="20"/>
      <c r="S13" s="62" t="s">
        <v>363</v>
      </c>
      <c r="T13" s="61"/>
      <c r="U13" s="61"/>
      <c r="V13" s="61"/>
      <c r="W13" s="61"/>
      <c r="X13" s="61"/>
      <c r="Y13" s="61"/>
      <c r="Z13" s="61"/>
      <c r="AA13" s="61"/>
      <c r="AB13" s="61"/>
      <c r="AC13" s="61"/>
    </row>
    <row r="14" spans="1:29" ht="15" thickTop="1" x14ac:dyDescent="0.2">
      <c r="I14" s="18"/>
      <c r="J14" s="3" t="s">
        <v>211</v>
      </c>
      <c r="M14" s="26" t="s">
        <v>312</v>
      </c>
      <c r="R14" s="20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15" customHeight="1" x14ac:dyDescent="0.2">
      <c r="B15" s="3" t="s">
        <v>61</v>
      </c>
      <c r="C15" s="65" t="s">
        <v>29</v>
      </c>
      <c r="D15" s="65"/>
      <c r="E15" s="3" t="s">
        <v>48</v>
      </c>
      <c r="F15" s="70" t="str">
        <f>IF(E$8="Mode Poursuite","(Mode Poursuite)",IF(E$8="Mode Fuite","(Mode Fuite)",""))</f>
        <v/>
      </c>
      <c r="G15" s="70"/>
      <c r="I15" s="18"/>
      <c r="J15" s="2" t="s">
        <v>213</v>
      </c>
      <c r="L15" s="24" t="str">
        <f>IF(AND(M14="Oui",NOT(OR(M10="Ville majeure",M10="Capitale"))),"Erreur : Palais impossible hors des Capitales ou des Villes majeures !",IF(AND(M14="Oui",M12=0),"Erreur : Tous les bâtiments sont détruits si les Murs sont à 0 PV !","Conforme aux Règles du Wargame"))</f>
        <v>Conforme aux Règles du Wargame</v>
      </c>
      <c r="M15" s="24"/>
      <c r="N15" s="24"/>
      <c r="O15" s="24"/>
      <c r="P15" s="24"/>
      <c r="Q15" s="24"/>
      <c r="R15" s="20"/>
      <c r="T15" s="3" t="str">
        <f>CONCATENATE("Troupes ",C15," : ",P$186," % de pertes",Q186,Q187,Q188,L$183)</f>
        <v>Troupes de Chorrol : 0 % de pertes</v>
      </c>
    </row>
    <row r="16" spans="1:29" x14ac:dyDescent="0.2">
      <c r="I16" s="18"/>
      <c r="J16" s="3" t="s">
        <v>320</v>
      </c>
      <c r="N16" s="65" t="s">
        <v>172</v>
      </c>
      <c r="O16" s="65"/>
      <c r="P16" s="65"/>
      <c r="R16" s="20"/>
    </row>
    <row r="17" spans="1:29" ht="15" customHeight="1" x14ac:dyDescent="0.2">
      <c r="B17" s="66" t="s">
        <v>365</v>
      </c>
      <c r="C17" s="66"/>
      <c r="D17" s="66"/>
      <c r="E17" s="66"/>
      <c r="F17" s="66"/>
      <c r="G17" s="66"/>
      <c r="H17" s="66"/>
      <c r="I17" s="18"/>
      <c r="R17" s="20"/>
      <c r="T17" s="56" t="str">
        <f>CONCATENATE(B17,L$180)</f>
        <v>Armée Écarlate</v>
      </c>
    </row>
    <row r="18" spans="1:29" x14ac:dyDescent="0.2">
      <c r="A18" s="3" t="str">
        <f>IF(B18="","","# ")</f>
        <v xml:space="preserve"># </v>
      </c>
      <c r="B18" s="55" t="s">
        <v>52</v>
      </c>
      <c r="C18" s="64" t="s">
        <v>364</v>
      </c>
      <c r="D18" s="64"/>
      <c r="E18" s="64"/>
      <c r="F18" s="64"/>
      <c r="G18" s="64"/>
      <c r="H18" s="64"/>
      <c r="I18" s="18"/>
      <c r="J18" s="41" t="s">
        <v>218</v>
      </c>
      <c r="R18" s="20"/>
      <c r="S18" s="3" t="str">
        <f>A18</f>
        <v xml:space="preserve"># </v>
      </c>
      <c r="T18" s="3" t="str">
        <f>IF(OR(B18="",B18="* Rang PJ *"),"",B18)</f>
        <v xml:space="preserve">Comte </v>
      </c>
      <c r="U18" s="3" t="str">
        <f>IF(C18="","",C18)</f>
        <v>Marius Valga</v>
      </c>
    </row>
    <row r="19" spans="1:29" ht="15" customHeight="1" x14ac:dyDescent="0.2">
      <c r="A19" s="3" t="s">
        <v>6</v>
      </c>
      <c r="B19" s="12">
        <v>3780</v>
      </c>
      <c r="C19" s="33" t="s">
        <v>10</v>
      </c>
      <c r="D19" s="3" t="s">
        <v>13</v>
      </c>
      <c r="E19" s="13">
        <f>5*B19</f>
        <v>18900</v>
      </c>
      <c r="F19" s="3" t="s">
        <v>14</v>
      </c>
      <c r="I19" s="18"/>
      <c r="R19" s="20"/>
      <c r="S19" s="3" t="s">
        <v>6</v>
      </c>
      <c r="T19" s="15">
        <f>B19</f>
        <v>3780</v>
      </c>
      <c r="U19" s="31" t="s">
        <v>338</v>
      </c>
      <c r="V19" s="15">
        <f>ROUND(T19*(1-M$186/100),0)</f>
        <v>3780</v>
      </c>
      <c r="W19" s="3" t="str">
        <f>C19</f>
        <v>Fantassins</v>
      </c>
      <c r="Y19" s="35" t="s">
        <v>340</v>
      </c>
      <c r="Z19" s="15">
        <f>V19*5</f>
        <v>18900</v>
      </c>
      <c r="AA19" s="3" t="s">
        <v>14</v>
      </c>
    </row>
    <row r="20" spans="1:29" ht="15" customHeight="1" x14ac:dyDescent="0.2">
      <c r="A20" s="3" t="s">
        <v>6</v>
      </c>
      <c r="B20" s="12">
        <v>1680</v>
      </c>
      <c r="C20" s="33" t="s">
        <v>11</v>
      </c>
      <c r="D20" s="3" t="s">
        <v>13</v>
      </c>
      <c r="E20" s="13">
        <f>10*B20</f>
        <v>16800</v>
      </c>
      <c r="F20" s="3" t="s">
        <v>15</v>
      </c>
      <c r="G20" s="13">
        <f>IF(E$8="Mode Poursuite",16*B20,IF(E$8="Mode Fuite",10*B20,4*B20))</f>
        <v>6720</v>
      </c>
      <c r="H20" s="3" t="str">
        <f>IF(E$8="Mode Poursuite","PU en Poursuite)",IF(E$8="Mode Fuite","PU en Fuite)","PU en Siège)"))</f>
        <v>PU en Siège)</v>
      </c>
      <c r="I20" s="18"/>
      <c r="J20" s="32" t="s">
        <v>227</v>
      </c>
      <c r="R20" s="20"/>
      <c r="S20" s="3" t="s">
        <v>6</v>
      </c>
      <c r="T20" s="15">
        <f t="shared" ref="T20:T21" si="0">B20</f>
        <v>1680</v>
      </c>
      <c r="U20" s="31" t="s">
        <v>338</v>
      </c>
      <c r="V20" s="15">
        <f>ROUND(T20*(1-M$187/100),0)</f>
        <v>1680</v>
      </c>
      <c r="W20" s="3" t="str">
        <f>C20</f>
        <v>Cavaliers</v>
      </c>
      <c r="Y20" s="35" t="s">
        <v>340</v>
      </c>
      <c r="Z20" s="15">
        <f>V20*10</f>
        <v>16800</v>
      </c>
      <c r="AA20" s="3" t="s">
        <v>15</v>
      </c>
      <c r="AB20" s="15">
        <f>V20*4</f>
        <v>6720</v>
      </c>
      <c r="AC20" s="3" t="s">
        <v>16</v>
      </c>
    </row>
    <row r="21" spans="1:29" ht="15" customHeight="1" x14ac:dyDescent="0.2">
      <c r="A21" s="3" t="s">
        <v>6</v>
      </c>
      <c r="B21" s="12">
        <v>4536</v>
      </c>
      <c r="C21" s="33" t="s">
        <v>12</v>
      </c>
      <c r="D21" s="3" t="s">
        <v>13</v>
      </c>
      <c r="E21" s="13">
        <f>5*B21</f>
        <v>22680</v>
      </c>
      <c r="F21" s="3" t="s">
        <v>15</v>
      </c>
      <c r="G21" s="13">
        <f>16*B21</f>
        <v>72576</v>
      </c>
      <c r="H21" s="3" t="s">
        <v>16</v>
      </c>
      <c r="I21" s="19"/>
      <c r="J21" s="3" t="s">
        <v>215</v>
      </c>
      <c r="L21" s="13">
        <f>IF(OR(C11="Mer",C11="Siège"),IF(G62&gt;G115,G62,G115),IF(C11="Plaine",IF(E62&gt;E115,E62,E115),"Erreur !"))</f>
        <v>98196</v>
      </c>
      <c r="M21" s="3" t="s">
        <v>214</v>
      </c>
      <c r="N21" s="13">
        <f>IF(OR(C11="Mer",C11="Siège"),IF(G62&lt;=G115,G62,G115),IF(C11="Plaine",IF(E62&lt;=E115,E62,E115),"Erreur !"))</f>
        <v>16712</v>
      </c>
      <c r="O21" s="3" t="s">
        <v>216</v>
      </c>
      <c r="P21" s="27">
        <f>L21/N21</f>
        <v>5.8757778841550978</v>
      </c>
      <c r="R21" s="20"/>
      <c r="S21" s="3" t="s">
        <v>6</v>
      </c>
      <c r="T21" s="15">
        <f t="shared" si="0"/>
        <v>4536</v>
      </c>
      <c r="U21" s="31" t="s">
        <v>338</v>
      </c>
      <c r="V21" s="15">
        <f>ROUND(T21*(1-M$188/100),0)</f>
        <v>4536</v>
      </c>
      <c r="W21" s="3" t="str">
        <f>C21</f>
        <v>Unités de Siège</v>
      </c>
      <c r="Y21" s="35" t="s">
        <v>340</v>
      </c>
      <c r="Z21" s="15">
        <f>V21*5</f>
        <v>22680</v>
      </c>
      <c r="AA21" s="3" t="s">
        <v>15</v>
      </c>
      <c r="AB21" s="15">
        <f>V21*16</f>
        <v>72576</v>
      </c>
      <c r="AC21" s="3" t="s">
        <v>16</v>
      </c>
    </row>
    <row r="22" spans="1:29" x14ac:dyDescent="0.2">
      <c r="B22" s="67" t="s">
        <v>7</v>
      </c>
      <c r="C22" s="67"/>
      <c r="D22" s="1"/>
      <c r="E22" s="14">
        <f>IF(OR(C15="* Indiquez votre Seigneurie *",C15=""),0,IF(OR(E$8="",E$8="Mode Poursuite"),E19+G20+E21,E19+E20+E21))</f>
        <v>58380</v>
      </c>
      <c r="F22" s="1" t="s">
        <v>17</v>
      </c>
      <c r="G22" s="14">
        <f>IF(OR(C15="* Indiquez votre Seigneurie *",C15=""),0,E19+G20+G21)</f>
        <v>98196</v>
      </c>
      <c r="H22" s="1" t="s">
        <v>16</v>
      </c>
      <c r="I22" s="18"/>
      <c r="J22" s="3" t="str">
        <f>IF(P21&lt;2^0.25,"Bonus de Ratio","Bonus de Ratio pour le Camp de")</f>
        <v>Bonus de Ratio pour le Camp de</v>
      </c>
      <c r="M22" s="24" t="str">
        <f>IF(P21&lt;2^0.25,"",IF(OR(C11="Mer",C11="Siège"),IF(G62&gt;G115,C13,C66),IF(C11="Plaine",IF(E62&gt;E115,C13,C66),"Erreur !")))</f>
        <v>Marius Valga</v>
      </c>
      <c r="N22" s="3" t="str">
        <f>IF(O22="Égalité",":","de +")</f>
        <v>de +</v>
      </c>
      <c r="O22" s="27" t="str">
        <f>IF(P21&lt;2^0.25,"Égalité",IF(P21&lt;2^0.5,"1",IF(P21&lt;2^0.75,"2",IF(P21&lt;2^1,"3",IF(P21&lt;2^1.25,"4",IF(P21&lt;2^1.5,"5",IF(P21&lt;2^1.75,"6",IF(P21&lt;2^2,"7",IF(P21&lt;2^2.25,"8",IF(P21&lt;2^2.5,"9",IF(P21&lt;2^2.75,"10",IF(P21&lt;2^3,"11",IF(P21&lt;2^3.25,"12",IF(P21&lt;2^3.5,"13",IF(P21&lt;2^3.75,"14",IF(P21&lt;2^4,"15",IF(P21&lt;2^4.25,"16",IF(P21&lt;2^4.5,"17",IF(P21&lt;2^4.75,"18",IF(P21&lt;2^5,"19","20"))))))))))))))))))))</f>
        <v>10</v>
      </c>
      <c r="R22" s="20"/>
      <c r="T22" s="1" t="s">
        <v>7</v>
      </c>
      <c r="U22" s="3" t="str">
        <f>CONCATENATE(O141," =&gt;")</f>
        <v>58 380 =&gt;</v>
      </c>
      <c r="W22" s="15">
        <f>IF(E22=0,0,Z19+Z20+Z21)</f>
        <v>58380</v>
      </c>
      <c r="X22" s="3" t="s">
        <v>252</v>
      </c>
      <c r="AA22" s="57" t="str">
        <f>CONCATENATE("(",Q141," =&gt; ")</f>
        <v xml:space="preserve">(98 196 =&gt; </v>
      </c>
      <c r="AB22" s="15">
        <f>IF(E22=0,0,Z19+AB20+AB21)</f>
        <v>98196</v>
      </c>
      <c r="AC22" s="3" t="s">
        <v>16</v>
      </c>
    </row>
    <row r="23" spans="1:29" x14ac:dyDescent="0.2">
      <c r="I23" s="18"/>
      <c r="R23" s="20"/>
    </row>
    <row r="24" spans="1:29" x14ac:dyDescent="0.2">
      <c r="C24" s="3" t="s">
        <v>8</v>
      </c>
      <c r="E24" s="7">
        <f>IF(E62=0,0,100*E22/E62)</f>
        <v>100</v>
      </c>
      <c r="F24" s="1" t="s">
        <v>22</v>
      </c>
      <c r="I24" s="18"/>
      <c r="J24" s="32" t="s">
        <v>219</v>
      </c>
      <c r="R24" s="20"/>
    </row>
    <row r="25" spans="1:29" ht="15" thickBot="1" x14ac:dyDescent="0.25">
      <c r="D25" s="7"/>
      <c r="E25" s="1"/>
      <c r="I25" s="20"/>
      <c r="J25" s="3" t="s">
        <v>220</v>
      </c>
      <c r="L25" s="24" t="str">
        <f>C13</f>
        <v>Marius Valga</v>
      </c>
      <c r="M25" s="3" t="s">
        <v>221</v>
      </c>
      <c r="R25" s="20"/>
      <c r="V25" s="7"/>
      <c r="W25" s="1"/>
    </row>
    <row r="26" spans="1:29" x14ac:dyDescent="0.2">
      <c r="A26" s="8"/>
      <c r="B26" s="8"/>
      <c r="C26" s="8"/>
      <c r="D26" s="9"/>
      <c r="E26" s="10"/>
      <c r="F26" s="8"/>
      <c r="G26" s="8"/>
      <c r="H26" s="8"/>
      <c r="I26" s="18"/>
      <c r="J26" s="3" t="s">
        <v>219</v>
      </c>
      <c r="L26" s="11">
        <v>4</v>
      </c>
      <c r="R26" s="20"/>
      <c r="S26" s="8"/>
      <c r="T26" s="8"/>
      <c r="U26" s="8"/>
      <c r="V26" s="9"/>
      <c r="W26" s="10"/>
      <c r="X26" s="8"/>
      <c r="Y26" s="8"/>
      <c r="Z26" s="8"/>
      <c r="AA26" s="8"/>
      <c r="AB26" s="8"/>
      <c r="AC26" s="8"/>
    </row>
    <row r="27" spans="1:29" x14ac:dyDescent="0.2">
      <c r="A27" s="3" t="s">
        <v>9</v>
      </c>
      <c r="B27" s="3" t="s">
        <v>61</v>
      </c>
      <c r="C27" s="65" t="s">
        <v>23</v>
      </c>
      <c r="D27" s="65"/>
      <c r="E27" s="3" t="s">
        <v>48</v>
      </c>
      <c r="F27" s="70" t="str">
        <f>IF(E$8="Mode Poursuite","(Mode Poursuite)",IF(E$8="Mode Fuite","(Mode Fuite)",""))</f>
        <v/>
      </c>
      <c r="G27" s="70"/>
      <c r="I27" s="18"/>
      <c r="J27" s="3" t="s">
        <v>223</v>
      </c>
      <c r="L27" s="11">
        <v>4</v>
      </c>
      <c r="R27" s="20"/>
      <c r="T27" s="3" t="str">
        <f>CONCATENATE("Troupes ",C27," : ",P$186," % de pertes",Q198,Q199,Q200,L$183)</f>
        <v>Troupes * Indiquez votre Seigneurie * : 0 % de pertes</v>
      </c>
    </row>
    <row r="28" spans="1:29" x14ac:dyDescent="0.2">
      <c r="I28" s="18"/>
      <c r="J28" s="3" t="s">
        <v>224</v>
      </c>
      <c r="L28" s="11">
        <v>0</v>
      </c>
      <c r="R28" s="20"/>
    </row>
    <row r="29" spans="1:29" x14ac:dyDescent="0.2">
      <c r="B29" s="66" t="s">
        <v>204</v>
      </c>
      <c r="C29" s="66"/>
      <c r="D29" s="66"/>
      <c r="E29" s="66"/>
      <c r="F29" s="66"/>
      <c r="G29" s="66"/>
      <c r="H29" s="66"/>
      <c r="I29" s="18"/>
      <c r="J29" s="3" t="s">
        <v>228</v>
      </c>
      <c r="L29" s="24">
        <f>IF(OR(L26="Réso Auto",L27="Réso Auto"),L28,IF(AND(L28=-1,L26+L27&gt;7),6,IF(AND(L28=-2,L26+L27&gt;6),4,IF(AND(L28=-3,L26+L27&gt;4),2,L26+L27+L28))))</f>
        <v>8</v>
      </c>
      <c r="R29" s="20"/>
      <c r="T29" s="56" t="str">
        <f>CONCATENATE(B29,L$180)</f>
        <v>Les Égorgeurs</v>
      </c>
    </row>
    <row r="30" spans="1:29" x14ac:dyDescent="0.2">
      <c r="A30" s="3" t="str">
        <f>IF(C30="","","# ")</f>
        <v/>
      </c>
      <c r="B30" s="55"/>
      <c r="C30" s="64"/>
      <c r="D30" s="64"/>
      <c r="E30" s="64"/>
      <c r="F30" s="64"/>
      <c r="G30" s="64"/>
      <c r="H30" s="64"/>
      <c r="I30" s="18"/>
      <c r="R30" s="20"/>
      <c r="S30" s="3" t="str">
        <f>A30</f>
        <v/>
      </c>
      <c r="T30" s="3" t="str">
        <f>IF(OR(B30="",B30="* Rang PJ *"),"",B30)</f>
        <v/>
      </c>
      <c r="U30" s="3" t="str">
        <f>IF(C30="","",C30)</f>
        <v/>
      </c>
    </row>
    <row r="31" spans="1:29" x14ac:dyDescent="0.2">
      <c r="A31" s="3" t="s">
        <v>6</v>
      </c>
      <c r="B31" s="12"/>
      <c r="C31" s="33" t="s">
        <v>10</v>
      </c>
      <c r="D31" s="3" t="s">
        <v>13</v>
      </c>
      <c r="E31" s="13">
        <f>5*B31</f>
        <v>0</v>
      </c>
      <c r="F31" s="3" t="s">
        <v>14</v>
      </c>
      <c r="I31" s="18"/>
      <c r="J31" s="3" t="s">
        <v>220</v>
      </c>
      <c r="L31" s="24" t="str">
        <f>C66</f>
        <v>Hasell</v>
      </c>
      <c r="M31" s="3" t="s">
        <v>221</v>
      </c>
      <c r="R31" s="20"/>
      <c r="S31" s="3" t="s">
        <v>6</v>
      </c>
      <c r="T31" s="15">
        <f>B31</f>
        <v>0</v>
      </c>
      <c r="U31" s="31" t="s">
        <v>338</v>
      </c>
      <c r="V31" s="15">
        <f>ROUND(T31*(1-M$186/100),0)</f>
        <v>0</v>
      </c>
      <c r="W31" s="3" t="str">
        <f>C31</f>
        <v>Fantassins</v>
      </c>
      <c r="Y31" s="35" t="s">
        <v>340</v>
      </c>
      <c r="Z31" s="15">
        <f>V31*5</f>
        <v>0</v>
      </c>
      <c r="AA31" s="3" t="s">
        <v>14</v>
      </c>
    </row>
    <row r="32" spans="1:29" x14ac:dyDescent="0.2">
      <c r="A32" s="3" t="s">
        <v>6</v>
      </c>
      <c r="B32" s="12"/>
      <c r="C32" s="33" t="s">
        <v>11</v>
      </c>
      <c r="D32" s="3" t="s">
        <v>13</v>
      </c>
      <c r="E32" s="13">
        <f>10*B32</f>
        <v>0</v>
      </c>
      <c r="F32" s="3" t="s">
        <v>15</v>
      </c>
      <c r="G32" s="13">
        <f>IF(E$8="Mode Poursuite",16*B32,IF(E$8="Mode Fuite",10*B32,4*B32))</f>
        <v>0</v>
      </c>
      <c r="H32" s="3" t="str">
        <f>IF(E$8="Mode Poursuite","PU en Poursuite)",IF(E$8="Mode Fuite","PU en Fuite)","PU en Siège)"))</f>
        <v>PU en Siège)</v>
      </c>
      <c r="I32" s="18"/>
      <c r="J32" s="3" t="s">
        <v>219</v>
      </c>
      <c r="L32" s="11">
        <v>0</v>
      </c>
      <c r="R32" s="20"/>
      <c r="S32" s="3" t="s">
        <v>6</v>
      </c>
      <c r="T32" s="15">
        <f t="shared" ref="T32:T33" si="1">B32</f>
        <v>0</v>
      </c>
      <c r="U32" s="31" t="s">
        <v>338</v>
      </c>
      <c r="V32" s="15">
        <f>ROUND(T32*(1-M$187/100),0)</f>
        <v>0</v>
      </c>
      <c r="W32" s="3" t="str">
        <f>C32</f>
        <v>Cavaliers</v>
      </c>
      <c r="Y32" s="35" t="s">
        <v>340</v>
      </c>
      <c r="Z32" s="15">
        <f>V32*10</f>
        <v>0</v>
      </c>
      <c r="AA32" s="3" t="s">
        <v>15</v>
      </c>
      <c r="AB32" s="15">
        <f>V32*4</f>
        <v>0</v>
      </c>
      <c r="AC32" s="3" t="s">
        <v>16</v>
      </c>
    </row>
    <row r="33" spans="1:29" x14ac:dyDescent="0.2">
      <c r="A33" s="3" t="s">
        <v>6</v>
      </c>
      <c r="B33" s="12"/>
      <c r="C33" s="33" t="s">
        <v>12</v>
      </c>
      <c r="D33" s="3" t="s">
        <v>13</v>
      </c>
      <c r="E33" s="13">
        <f>5*B33</f>
        <v>0</v>
      </c>
      <c r="F33" s="3" t="s">
        <v>15</v>
      </c>
      <c r="G33" s="13">
        <f>16*B33</f>
        <v>0</v>
      </c>
      <c r="H33" s="3" t="s">
        <v>16</v>
      </c>
      <c r="I33" s="19"/>
      <c r="J33" s="3" t="s">
        <v>223</v>
      </c>
      <c r="L33" s="11">
        <v>0</v>
      </c>
      <c r="R33" s="20"/>
      <c r="S33" s="3" t="s">
        <v>6</v>
      </c>
      <c r="T33" s="15">
        <f t="shared" si="1"/>
        <v>0</v>
      </c>
      <c r="U33" s="31" t="s">
        <v>338</v>
      </c>
      <c r="V33" s="15">
        <f>ROUND(T33*(1-M$188/100),0)</f>
        <v>0</v>
      </c>
      <c r="W33" s="3" t="str">
        <f>C33</f>
        <v>Unités de Siège</v>
      </c>
      <c r="Y33" s="35" t="s">
        <v>340</v>
      </c>
      <c r="Z33" s="15">
        <f>V33*5</f>
        <v>0</v>
      </c>
      <c r="AA33" s="3" t="s">
        <v>15</v>
      </c>
      <c r="AB33" s="15">
        <f>V33*16</f>
        <v>0</v>
      </c>
      <c r="AC33" s="3" t="s">
        <v>16</v>
      </c>
    </row>
    <row r="34" spans="1:29" x14ac:dyDescent="0.2">
      <c r="B34" s="67" t="s">
        <v>7</v>
      </c>
      <c r="C34" s="67"/>
      <c r="D34" s="1"/>
      <c r="E34" s="14">
        <f>IF(OR(C27="* Indiquez votre Seigneurie *",C27=""),0,IF(OR(E$8="",E$8="Mode Poursuite"),E31+G32+E33,E31+E32+E33))</f>
        <v>0</v>
      </c>
      <c r="F34" s="1" t="s">
        <v>17</v>
      </c>
      <c r="G34" s="14">
        <f>IF(OR(C27="* Indiquez votre Seigneurie *",C27=""),0,E31+G32+G33)</f>
        <v>0</v>
      </c>
      <c r="H34" s="1" t="s">
        <v>16</v>
      </c>
      <c r="I34" s="18"/>
      <c r="J34" s="3" t="s">
        <v>224</v>
      </c>
      <c r="L34" s="11">
        <v>-2</v>
      </c>
      <c r="R34" s="20"/>
      <c r="T34" s="1" t="s">
        <v>7</v>
      </c>
      <c r="U34" s="3" t="str">
        <f>CONCATENATE(O142," =&gt;")</f>
        <v>0 =&gt;</v>
      </c>
      <c r="W34" s="15">
        <f>IF(E34=0,0,Z31+Z32+Z33)</f>
        <v>0</v>
      </c>
      <c r="X34" s="3" t="s">
        <v>252</v>
      </c>
      <c r="AA34" s="57" t="str">
        <f>CONCATENATE("(",Q142," =&gt; ")</f>
        <v xml:space="preserve">(0 =&gt; </v>
      </c>
      <c r="AB34" s="15">
        <f>IF(E34=0,0,Z31+AB32+AB33)</f>
        <v>0</v>
      </c>
      <c r="AC34" s="3" t="s">
        <v>16</v>
      </c>
    </row>
    <row r="35" spans="1:29" x14ac:dyDescent="0.2">
      <c r="I35" s="18"/>
      <c r="J35" s="3" t="s">
        <v>228</v>
      </c>
      <c r="L35" s="24">
        <f>IF(OR(L32="Réso Auto",L33="Réso Auto"),L34,IF(AND(L34=-1,L32+L33&gt;7),6,IF(AND(L34=-2,L32+L33&gt;6),4,IF(AND(L34=-3,L32+L33&gt;4),2,L32+L33+L34))))</f>
        <v>-2</v>
      </c>
      <c r="R35" s="20"/>
    </row>
    <row r="36" spans="1:29" x14ac:dyDescent="0.2">
      <c r="C36" s="3" t="s">
        <v>8</v>
      </c>
      <c r="E36" s="7">
        <f>IF(E62=0,0,100*E34/E62)</f>
        <v>0</v>
      </c>
      <c r="F36" s="1" t="s">
        <v>22</v>
      </c>
      <c r="I36" s="18"/>
      <c r="R36" s="20"/>
    </row>
    <row r="37" spans="1:29" ht="15" thickBot="1" x14ac:dyDescent="0.25">
      <c r="D37" s="7"/>
      <c r="E37" s="1"/>
      <c r="I37" s="20"/>
      <c r="J37" s="3" t="str">
        <f>IF(L37="Égalité","Différence :","Différence :                +")</f>
        <v>Différence :                +</v>
      </c>
      <c r="L37" s="24">
        <f>IF(L29=L35,"Égalité",ABS(L29-L35))</f>
        <v>10</v>
      </c>
      <c r="M37" s="3" t="str">
        <f>IF(L37="Égalité","","pour le Camp de")</f>
        <v>pour le Camp de</v>
      </c>
      <c r="O37" s="24" t="str">
        <f>IF(L37="Égalité","",IF(L29&gt;L35,L25,L31))</f>
        <v>Marius Valga</v>
      </c>
      <c r="R37" s="20"/>
      <c r="V37" s="7"/>
      <c r="W37" s="1"/>
    </row>
    <row r="38" spans="1:29" x14ac:dyDescent="0.2">
      <c r="A38" s="8"/>
      <c r="B38" s="8"/>
      <c r="C38" s="8"/>
      <c r="D38" s="9"/>
      <c r="E38" s="10"/>
      <c r="F38" s="8"/>
      <c r="G38" s="8"/>
      <c r="H38" s="8"/>
      <c r="I38" s="18"/>
      <c r="J38" s="2" t="s">
        <v>213</v>
      </c>
      <c r="R38" s="20"/>
      <c r="S38" s="8"/>
      <c r="T38" s="8"/>
      <c r="U38" s="8"/>
      <c r="V38" s="9"/>
      <c r="W38" s="10"/>
      <c r="X38" s="8"/>
      <c r="Y38" s="8"/>
      <c r="Z38" s="8"/>
      <c r="AA38" s="8"/>
      <c r="AB38" s="8"/>
      <c r="AC38" s="8"/>
    </row>
    <row r="39" spans="1:29" x14ac:dyDescent="0.2">
      <c r="A39" s="3" t="s">
        <v>9</v>
      </c>
      <c r="B39" s="3" t="s">
        <v>61</v>
      </c>
      <c r="C39" s="65" t="s">
        <v>23</v>
      </c>
      <c r="D39" s="65"/>
      <c r="E39" s="3" t="s">
        <v>48</v>
      </c>
      <c r="F39" s="70" t="str">
        <f>IF(E$8="Mode Poursuite","(Mode Poursuite)",IF(E$8="Mode Fuite","(Mode Fuite)",""))</f>
        <v/>
      </c>
      <c r="G39" s="70"/>
      <c r="I39" s="18"/>
      <c r="J39" s="24" t="str">
        <f>IF(AND(OR(L26="Réso Auto",L27="Réso Auto",L32="Réso Auto",L33="Réso Auto"),NOT(AND(L26="Réso Auto",L27="Réso Auto",L32="Réso Auto",L33="Réso Auto"))),"Erreur : Indiquez 'Réso Auto' sur toutes ou aucune des notes de RP et de Tactique !","Conforme aux Règles du Wargame")</f>
        <v>Conforme aux Règles du Wargame</v>
      </c>
      <c r="K39" s="24"/>
      <c r="L39" s="24"/>
      <c r="M39" s="24"/>
      <c r="N39" s="24"/>
      <c r="O39" s="24"/>
      <c r="P39" s="24"/>
      <c r="R39" s="20"/>
      <c r="T39" s="3" t="str">
        <f>CONCATENATE("Troupes ",C39," : ",P$186," % de pertes",Q210,Q211,Q212,L$183)</f>
        <v>Troupes * Indiquez votre Seigneurie * : 0 % de pertes</v>
      </c>
    </row>
    <row r="40" spans="1:29" x14ac:dyDescent="0.2">
      <c r="I40" s="18"/>
      <c r="R40" s="20"/>
    </row>
    <row r="41" spans="1:29" x14ac:dyDescent="0.2">
      <c r="B41" s="66" t="s">
        <v>5</v>
      </c>
      <c r="C41" s="66"/>
      <c r="D41" s="66"/>
      <c r="E41" s="66"/>
      <c r="F41" s="66"/>
      <c r="G41" s="66"/>
      <c r="H41" s="66"/>
      <c r="I41" s="18"/>
      <c r="J41" s="32" t="s">
        <v>230</v>
      </c>
      <c r="R41" s="20"/>
      <c r="T41" s="56" t="str">
        <f>CONCATENATE(B41,L$180)</f>
        <v>Nom de l'armée</v>
      </c>
    </row>
    <row r="42" spans="1:29" x14ac:dyDescent="0.2">
      <c r="A42" s="3" t="str">
        <f>IF(C42="","","# ")</f>
        <v xml:space="preserve"># </v>
      </c>
      <c r="B42" s="55" t="s">
        <v>54</v>
      </c>
      <c r="C42" s="64" t="s">
        <v>205</v>
      </c>
      <c r="D42" s="64"/>
      <c r="E42" s="64"/>
      <c r="F42" s="64"/>
      <c r="G42" s="64"/>
      <c r="H42" s="64"/>
      <c r="I42" s="18"/>
      <c r="J42" s="3" t="str">
        <f>IF(L42="Aucun","Bonus de base :","Bonus de base :          +")</f>
        <v>Bonus de base :          +</v>
      </c>
      <c r="L42" s="24">
        <f>IF(M10="Capitale",4,IF(OR(M10="Ville majeure",M10="Ville mineure"),3,IF(OR(M10="Bourg",M10="Camp"),2,IF(M10="Avant-Poste",1,"Aucun"))))</f>
        <v>2</v>
      </c>
      <c r="R42" s="20"/>
      <c r="S42" s="3" t="str">
        <f>A42</f>
        <v xml:space="preserve"># </v>
      </c>
      <c r="T42" s="3" t="str">
        <f>IF(OR(B42="",B42="* Rang PJ *"),"",B42)</f>
        <v xml:space="preserve">Jarl </v>
      </c>
      <c r="U42" s="3" t="str">
        <f>IF(C42="","",C42)</f>
        <v>Harod</v>
      </c>
    </row>
    <row r="43" spans="1:29" x14ac:dyDescent="0.2">
      <c r="A43" s="3" t="s">
        <v>6</v>
      </c>
      <c r="B43" s="12"/>
      <c r="C43" s="33" t="s">
        <v>10</v>
      </c>
      <c r="D43" s="3" t="s">
        <v>13</v>
      </c>
      <c r="E43" s="13">
        <f>5*B43</f>
        <v>0</v>
      </c>
      <c r="F43" s="3" t="s">
        <v>14</v>
      </c>
      <c r="I43" s="18"/>
      <c r="J43" s="3" t="s">
        <v>233</v>
      </c>
      <c r="L43" s="24">
        <f>IF(OR(M10="Plaine Rase",M10="Haute-Mer",M10="* Définir Fortifications *",M10=""),0,IF(AND(M14="Oui",L15="Conforme aux Règles du Wargame"),1,0))</f>
        <v>0</v>
      </c>
      <c r="R43" s="20"/>
      <c r="S43" s="3" t="s">
        <v>6</v>
      </c>
      <c r="T43" s="15">
        <f>B43</f>
        <v>0</v>
      </c>
      <c r="U43" s="31" t="s">
        <v>338</v>
      </c>
      <c r="V43" s="15">
        <f>ROUND(T43*(1-M$186/100),0)</f>
        <v>0</v>
      </c>
      <c r="W43" s="3" t="str">
        <f>C43</f>
        <v>Fantassins</v>
      </c>
      <c r="Y43" s="35" t="s">
        <v>340</v>
      </c>
      <c r="Z43" s="15">
        <f>V43*5</f>
        <v>0</v>
      </c>
      <c r="AA43" s="3" t="s">
        <v>14</v>
      </c>
    </row>
    <row r="44" spans="1:29" x14ac:dyDescent="0.2">
      <c r="A44" s="3" t="s">
        <v>6</v>
      </c>
      <c r="B44" s="12"/>
      <c r="C44" s="33" t="s">
        <v>11</v>
      </c>
      <c r="D44" s="3" t="s">
        <v>13</v>
      </c>
      <c r="E44" s="13">
        <f>10*B44</f>
        <v>0</v>
      </c>
      <c r="F44" s="3" t="s">
        <v>15</v>
      </c>
      <c r="G44" s="13">
        <f>IF(E$8="Mode Poursuite",16*B44,IF(E$8="Mode Fuite",10*B44,4*B44))</f>
        <v>0</v>
      </c>
      <c r="H44" s="3" t="str">
        <f>IF(E$8="Mode Poursuite","PU en Poursuite)",IF(E$8="Mode Fuite","PU en Fuite)","PU en Siège)"))</f>
        <v>PU en Siège)</v>
      </c>
      <c r="I44" s="18"/>
      <c r="J44" s="3" t="s">
        <v>235</v>
      </c>
      <c r="L44" s="24">
        <f>IF(OR(M12="PV Murs ?",AND(M12&gt;0,OR(M10="Haute-Mer",M10="Plaine rase")),AND(NOT(OR(M10="Haute-Mer",M10="Plaine rase")),M12=""),M10="Haute-Mer",M10="Plaine rase"),0,IF(AND(C11="Siège",L11="Conforme aux Règles du Wargame"),IF(M12&gt;150,0,IF(M12&gt;80,-1,-2)),IF(M10="Camp",IF(M12&gt;80,0,IF(M12&gt;0,-1,-2)),IF(M10="Avant-Poste",IF(M12&gt;0,0,-1),"Erreur !"))))</f>
        <v>0</v>
      </c>
      <c r="R44" s="20"/>
      <c r="S44" s="3" t="s">
        <v>6</v>
      </c>
      <c r="T44" s="15">
        <f t="shared" ref="T44:T45" si="2">B44</f>
        <v>0</v>
      </c>
      <c r="U44" s="31" t="s">
        <v>338</v>
      </c>
      <c r="V44" s="15">
        <f>ROUND(T44*(1-M$187/100),0)</f>
        <v>0</v>
      </c>
      <c r="W44" s="3" t="str">
        <f>C44</f>
        <v>Cavaliers</v>
      </c>
      <c r="Y44" s="35" t="s">
        <v>340</v>
      </c>
      <c r="Z44" s="15">
        <f>V44*10</f>
        <v>0</v>
      </c>
      <c r="AA44" s="3" t="s">
        <v>15</v>
      </c>
      <c r="AB44" s="15">
        <f>V44*4</f>
        <v>0</v>
      </c>
      <c r="AC44" s="3" t="s">
        <v>16</v>
      </c>
    </row>
    <row r="45" spans="1:29" x14ac:dyDescent="0.2">
      <c r="A45" s="3" t="s">
        <v>6</v>
      </c>
      <c r="B45" s="12"/>
      <c r="C45" s="33" t="s">
        <v>12</v>
      </c>
      <c r="D45" s="3" t="s">
        <v>13</v>
      </c>
      <c r="E45" s="13">
        <f>5*B45</f>
        <v>0</v>
      </c>
      <c r="F45" s="3" t="s">
        <v>15</v>
      </c>
      <c r="G45" s="13">
        <f>16*B45</f>
        <v>0</v>
      </c>
      <c r="H45" s="3" t="s">
        <v>16</v>
      </c>
      <c r="I45" s="19"/>
      <c r="J45" s="3" t="s">
        <v>7</v>
      </c>
      <c r="L45" s="24">
        <f>IF(L42="Aucun",0,L42+L43+L44)</f>
        <v>2</v>
      </c>
      <c r="M45" s="3" t="str">
        <f>IF(L45="Égalité","","pour le Camp de")</f>
        <v>pour le Camp de</v>
      </c>
      <c r="O45" s="24" t="str">
        <f>C66</f>
        <v>Hasell</v>
      </c>
      <c r="R45" s="20"/>
      <c r="S45" s="3" t="s">
        <v>6</v>
      </c>
      <c r="T45" s="15">
        <f t="shared" si="2"/>
        <v>0</v>
      </c>
      <c r="U45" s="31" t="s">
        <v>338</v>
      </c>
      <c r="V45" s="15">
        <f>ROUND(T45*(1-M$188/100),0)</f>
        <v>0</v>
      </c>
      <c r="W45" s="3" t="str">
        <f>C45</f>
        <v>Unités de Siège</v>
      </c>
      <c r="Y45" s="35" t="s">
        <v>340</v>
      </c>
      <c r="Z45" s="15">
        <f>V45*5</f>
        <v>0</v>
      </c>
      <c r="AA45" s="3" t="s">
        <v>15</v>
      </c>
      <c r="AB45" s="15">
        <f>V45*16</f>
        <v>0</v>
      </c>
      <c r="AC45" s="3" t="s">
        <v>16</v>
      </c>
    </row>
    <row r="46" spans="1:29" x14ac:dyDescent="0.2">
      <c r="B46" s="67" t="s">
        <v>7</v>
      </c>
      <c r="C46" s="67"/>
      <c r="D46" s="1"/>
      <c r="E46" s="14">
        <f>IF(OR(C39="* Indiquez votre Seigneurie *",C39=""),0,IF(OR(E$8="",E$8="Mode Poursuite"),E43+G44+E45,E43+E44+E45))</f>
        <v>0</v>
      </c>
      <c r="F46" s="1" t="s">
        <v>17</v>
      </c>
      <c r="G46" s="14">
        <f>IF(OR(C39="* Indiquez votre Seigneurie *",C39=""),0,E43+G44+G45)</f>
        <v>0</v>
      </c>
      <c r="H46" s="1" t="s">
        <v>16</v>
      </c>
      <c r="I46" s="18"/>
      <c r="R46" s="20"/>
      <c r="T46" s="1" t="s">
        <v>7</v>
      </c>
      <c r="U46" s="3" t="str">
        <f>CONCATENATE(O143," =&gt;")</f>
        <v>0 =&gt;</v>
      </c>
      <c r="W46" s="15">
        <f>IF(E46=0,0,Z43+Z44+Z45)</f>
        <v>0</v>
      </c>
      <c r="X46" s="3" t="s">
        <v>252</v>
      </c>
      <c r="AA46" s="57" t="str">
        <f>CONCATENATE("(",Q143," =&gt; ")</f>
        <v xml:space="preserve">(0 =&gt; </v>
      </c>
      <c r="AB46" s="15">
        <f>IF(E46=0,0,Z43+AB44+AB45)</f>
        <v>0</v>
      </c>
      <c r="AC46" s="3" t="s">
        <v>16</v>
      </c>
    </row>
    <row r="47" spans="1:29" x14ac:dyDescent="0.2">
      <c r="I47" s="18"/>
      <c r="J47" s="32" t="s">
        <v>236</v>
      </c>
      <c r="R47" s="20"/>
    </row>
    <row r="48" spans="1:29" x14ac:dyDescent="0.2">
      <c r="C48" s="3" t="s">
        <v>8</v>
      </c>
      <c r="E48" s="7">
        <f>IF(E62=0,0,100*E46/E62)</f>
        <v>0</v>
      </c>
      <c r="F48" s="1" t="s">
        <v>22</v>
      </c>
      <c r="I48" s="18"/>
      <c r="J48" s="3" t="str">
        <f>IF(M48="Charisme","Aucun Bonus de","Bonus de Charisme de +")</f>
        <v>Bonus de Charisme de +</v>
      </c>
      <c r="M48" s="24">
        <f>IF(G141=0,"Charisme",G141)</f>
        <v>2</v>
      </c>
      <c r="N48" s="3" t="s">
        <v>237</v>
      </c>
      <c r="P48" s="24" t="str">
        <f>C13</f>
        <v>Marius Valga</v>
      </c>
      <c r="R48" s="20"/>
    </row>
    <row r="49" spans="1:29" ht="15" thickBot="1" x14ac:dyDescent="0.25">
      <c r="D49" s="7"/>
      <c r="E49" s="1"/>
      <c r="I49" s="20"/>
      <c r="J49" s="3" t="str">
        <f>IF(M49="Charisme","Aucun Bonus de","Bonus de Charisme de +")</f>
        <v>Aucun Bonus de</v>
      </c>
      <c r="M49" s="24" t="str">
        <f>IF(G146=0,"Charisme",G146)</f>
        <v>Charisme</v>
      </c>
      <c r="N49" s="3" t="s">
        <v>237</v>
      </c>
      <c r="P49" s="24" t="str">
        <f>C66</f>
        <v>Hasell</v>
      </c>
      <c r="R49" s="20"/>
      <c r="V49" s="7"/>
      <c r="W49" s="1"/>
    </row>
    <row r="50" spans="1:29" x14ac:dyDescent="0.2">
      <c r="A50" s="8"/>
      <c r="B50" s="8"/>
      <c r="C50" s="8"/>
      <c r="D50" s="9"/>
      <c r="E50" s="10"/>
      <c r="F50" s="8"/>
      <c r="G50" s="8"/>
      <c r="H50" s="8"/>
      <c r="I50" s="18"/>
      <c r="R50" s="20"/>
      <c r="S50" s="8"/>
      <c r="T50" s="8"/>
      <c r="U50" s="8"/>
      <c r="V50" s="9"/>
      <c r="W50" s="10"/>
      <c r="X50" s="8"/>
      <c r="Y50" s="8"/>
      <c r="Z50" s="8"/>
      <c r="AA50" s="8"/>
      <c r="AB50" s="8"/>
      <c r="AC50" s="8"/>
    </row>
    <row r="51" spans="1:29" x14ac:dyDescent="0.2">
      <c r="A51" s="3" t="s">
        <v>9</v>
      </c>
      <c r="B51" s="3" t="s">
        <v>61</v>
      </c>
      <c r="C51" s="65" t="s">
        <v>23</v>
      </c>
      <c r="D51" s="65"/>
      <c r="E51" s="3" t="s">
        <v>48</v>
      </c>
      <c r="F51" s="70" t="str">
        <f>IF(E$8="Mode Poursuite","(Mode Poursuite)",IF(E$8="Mode Fuite","(Mode Fuite)",""))</f>
        <v/>
      </c>
      <c r="G51" s="70"/>
      <c r="I51" s="18"/>
      <c r="J51" s="32" t="s">
        <v>245</v>
      </c>
      <c r="R51" s="20"/>
      <c r="T51" s="3" t="str">
        <f>CONCATENATE("Troupes ",C51," : ",P$186," % de pertes",Q222,Q223,Q224,L$183)</f>
        <v>Troupes * Indiquez votre Seigneurie * : 0 % de pertes</v>
      </c>
    </row>
    <row r="52" spans="1:29" x14ac:dyDescent="0.2">
      <c r="I52" s="18"/>
      <c r="J52" s="3" t="s">
        <v>250</v>
      </c>
      <c r="M52" s="24" t="str">
        <f>C13</f>
        <v>Marius Valga</v>
      </c>
      <c r="N52" s="3" t="s">
        <v>246</v>
      </c>
      <c r="O52" s="13">
        <f>J144</f>
        <v>0</v>
      </c>
      <c r="P52" s="3" t="s">
        <v>252</v>
      </c>
      <c r="R52" s="20"/>
    </row>
    <row r="53" spans="1:29" x14ac:dyDescent="0.2">
      <c r="B53" s="66" t="s">
        <v>5</v>
      </c>
      <c r="C53" s="66"/>
      <c r="D53" s="66"/>
      <c r="E53" s="66"/>
      <c r="F53" s="66"/>
      <c r="G53" s="66"/>
      <c r="H53" s="66"/>
      <c r="I53" s="18"/>
      <c r="J53" s="3" t="s">
        <v>250</v>
      </c>
      <c r="M53" s="24" t="str">
        <f>C66</f>
        <v>Hasell</v>
      </c>
      <c r="N53" s="3" t="s">
        <v>246</v>
      </c>
      <c r="O53" s="13">
        <f>K144</f>
        <v>18025</v>
      </c>
      <c r="P53" s="3" t="s">
        <v>252</v>
      </c>
      <c r="R53" s="20"/>
      <c r="T53" s="56" t="str">
        <f>CONCATENATE(B53,L$180)</f>
        <v>Nom de l'armée</v>
      </c>
    </row>
    <row r="54" spans="1:29" x14ac:dyDescent="0.2">
      <c r="A54" s="3" t="str">
        <f>IF(C54="","","# ")</f>
        <v xml:space="preserve"># </v>
      </c>
      <c r="B54" s="55" t="s">
        <v>182</v>
      </c>
      <c r="C54" s="64" t="s">
        <v>21</v>
      </c>
      <c r="D54" s="64"/>
      <c r="E54" s="64"/>
      <c r="F54" s="64"/>
      <c r="G54" s="64"/>
      <c r="H54" s="64"/>
      <c r="I54" s="18"/>
      <c r="J54" s="3" t="s">
        <v>251</v>
      </c>
      <c r="M54" s="24" t="str">
        <f>C13</f>
        <v>Marius Valga</v>
      </c>
      <c r="N54" s="3" t="s">
        <v>246</v>
      </c>
      <c r="O54" s="36">
        <f>J145*100</f>
        <v>0</v>
      </c>
      <c r="P54" s="3" t="s">
        <v>22</v>
      </c>
      <c r="R54" s="20"/>
      <c r="S54" s="3" t="str">
        <f>A54</f>
        <v xml:space="preserve"># </v>
      </c>
      <c r="T54" s="3" t="str">
        <f>IF(OR(B54="",B54="* Rang PJ *"),"",B54)</f>
        <v/>
      </c>
      <c r="U54" s="3" t="str">
        <f>IF(C54="","",C54)</f>
        <v>Indiquez la présence de vos Seigneurs ici</v>
      </c>
    </row>
    <row r="55" spans="1:29" x14ac:dyDescent="0.2">
      <c r="A55" s="3" t="s">
        <v>6</v>
      </c>
      <c r="B55" s="12"/>
      <c r="C55" s="33" t="s">
        <v>10</v>
      </c>
      <c r="D55" s="3" t="s">
        <v>13</v>
      </c>
      <c r="E55" s="13">
        <f>5*B55</f>
        <v>0</v>
      </c>
      <c r="F55" s="3" t="s">
        <v>14</v>
      </c>
      <c r="I55" s="18"/>
      <c r="J55" s="3" t="s">
        <v>251</v>
      </c>
      <c r="M55" s="24" t="str">
        <f>C66</f>
        <v>Hasell</v>
      </c>
      <c r="N55" s="3" t="s">
        <v>246</v>
      </c>
      <c r="O55" s="36">
        <f>K145*100</f>
        <v>100</v>
      </c>
      <c r="P55" s="3" t="s">
        <v>22</v>
      </c>
      <c r="R55" s="20"/>
      <c r="S55" s="3" t="s">
        <v>6</v>
      </c>
      <c r="T55" s="15">
        <f>B55</f>
        <v>0</v>
      </c>
      <c r="U55" s="31" t="s">
        <v>338</v>
      </c>
      <c r="V55" s="15">
        <f>ROUND(T55*(1-M$186/100),0)</f>
        <v>0</v>
      </c>
      <c r="W55" s="3" t="str">
        <f>C55</f>
        <v>Fantassins</v>
      </c>
      <c r="Y55" s="35" t="s">
        <v>340</v>
      </c>
      <c r="Z55" s="15">
        <f>V55*5</f>
        <v>0</v>
      </c>
      <c r="AA55" s="3" t="s">
        <v>14</v>
      </c>
    </row>
    <row r="56" spans="1:29" x14ac:dyDescent="0.2">
      <c r="A56" s="3" t="s">
        <v>6</v>
      </c>
      <c r="B56" s="12"/>
      <c r="C56" s="33" t="s">
        <v>11</v>
      </c>
      <c r="D56" s="3" t="s">
        <v>13</v>
      </c>
      <c r="E56" s="13">
        <f>10*B56</f>
        <v>0</v>
      </c>
      <c r="F56" s="3" t="s">
        <v>15</v>
      </c>
      <c r="G56" s="13">
        <f>IF(E$8="Mode Poursuite",16*B56,IF(E$8="Mode Fuite",10*B56,4*B56))</f>
        <v>0</v>
      </c>
      <c r="H56" s="3" t="str">
        <f>IF(E$8="Mode Poursuite","PU en Poursuite)",IF(E$8="Mode Fuite","PU en Fuite)","PU en Siège)"))</f>
        <v>PU en Siège)</v>
      </c>
      <c r="I56" s="18"/>
      <c r="J56" s="3" t="str">
        <f>IF(M56="Domicile","Aucun Bonus de Combat à","Bonus de Combat à Domicile de +")</f>
        <v>Aucun Bonus de Combat à</v>
      </c>
      <c r="M56" s="24" t="str">
        <f>IF(O54&lt;25,"Domicile",1)</f>
        <v>Domicile</v>
      </c>
      <c r="N56" s="3" t="s">
        <v>237</v>
      </c>
      <c r="P56" s="24" t="str">
        <f>C13</f>
        <v>Marius Valga</v>
      </c>
      <c r="R56" s="20"/>
      <c r="S56" s="3" t="s">
        <v>6</v>
      </c>
      <c r="T56" s="15">
        <f t="shared" ref="T56:T57" si="3">B56</f>
        <v>0</v>
      </c>
      <c r="U56" s="31" t="s">
        <v>338</v>
      </c>
      <c r="V56" s="15">
        <f>ROUND(T56*(1-M$187/100),0)</f>
        <v>0</v>
      </c>
      <c r="W56" s="3" t="str">
        <f>C56</f>
        <v>Cavaliers</v>
      </c>
      <c r="Y56" s="35" t="s">
        <v>340</v>
      </c>
      <c r="Z56" s="15">
        <f>V56*10</f>
        <v>0</v>
      </c>
      <c r="AA56" s="3" t="s">
        <v>15</v>
      </c>
      <c r="AB56" s="15">
        <f>V56*4</f>
        <v>0</v>
      </c>
      <c r="AC56" s="3" t="s">
        <v>16</v>
      </c>
    </row>
    <row r="57" spans="1:29" x14ac:dyDescent="0.2">
      <c r="A57" s="3" t="s">
        <v>6</v>
      </c>
      <c r="B57" s="12"/>
      <c r="C57" s="33" t="s">
        <v>12</v>
      </c>
      <c r="D57" s="3" t="s">
        <v>13</v>
      </c>
      <c r="E57" s="13">
        <f>5*B57</f>
        <v>0</v>
      </c>
      <c r="F57" s="3" t="s">
        <v>15</v>
      </c>
      <c r="G57" s="13">
        <f>16*B57</f>
        <v>0</v>
      </c>
      <c r="H57" s="3" t="s">
        <v>16</v>
      </c>
      <c r="I57" s="19"/>
      <c r="J57" s="3" t="str">
        <f>IF(M57="domicile","Aucun Bonus de Combat à","Bonus de Combat à Domicile de +")</f>
        <v>Bonus de Combat à Domicile de +</v>
      </c>
      <c r="M57" s="24">
        <f>IF(O55&lt;25,"Domicile",1)</f>
        <v>1</v>
      </c>
      <c r="N57" s="3" t="s">
        <v>237</v>
      </c>
      <c r="P57" s="24" t="str">
        <f>C66</f>
        <v>Hasell</v>
      </c>
      <c r="R57" s="20"/>
      <c r="S57" s="3" t="s">
        <v>6</v>
      </c>
      <c r="T57" s="15">
        <f t="shared" si="3"/>
        <v>0</v>
      </c>
      <c r="U57" s="31" t="s">
        <v>338</v>
      </c>
      <c r="V57" s="15">
        <f>ROUND(T57*(1-M$188/100),0)</f>
        <v>0</v>
      </c>
      <c r="W57" s="3" t="str">
        <f>C57</f>
        <v>Unités de Siège</v>
      </c>
      <c r="Y57" s="35" t="s">
        <v>340</v>
      </c>
      <c r="Z57" s="15">
        <f>V57*5</f>
        <v>0</v>
      </c>
      <c r="AA57" s="3" t="s">
        <v>15</v>
      </c>
      <c r="AB57" s="15">
        <f>V57*16</f>
        <v>0</v>
      </c>
      <c r="AC57" s="3" t="s">
        <v>16</v>
      </c>
    </row>
    <row r="58" spans="1:29" x14ac:dyDescent="0.2">
      <c r="B58" s="67" t="s">
        <v>7</v>
      </c>
      <c r="C58" s="67"/>
      <c r="D58" s="1"/>
      <c r="E58" s="14">
        <f>IF(OR(C51="* Indiquez votre Seigneurie *",C51=""),0,IF(OR(E$8="",E$8="Mode Poursuite"),E55+G56+E57,E55+E56+E57))</f>
        <v>0</v>
      </c>
      <c r="F58" s="1" t="s">
        <v>17</v>
      </c>
      <c r="G58" s="14">
        <f>IF(OR(C51="* Indiquez votre Seigneurie *",C51=""),0,E55+G56+G57)</f>
        <v>0</v>
      </c>
      <c r="H58" s="1" t="s">
        <v>16</v>
      </c>
      <c r="I58" s="18"/>
      <c r="R58" s="20"/>
      <c r="T58" s="1" t="s">
        <v>7</v>
      </c>
      <c r="U58" s="3" t="str">
        <f>CONCATENATE(O144," =&gt;")</f>
        <v>0 =&gt;</v>
      </c>
      <c r="W58" s="15">
        <f>IF(E58=0,0,Z55+Z56+Z57)</f>
        <v>0</v>
      </c>
      <c r="X58" s="3" t="s">
        <v>252</v>
      </c>
      <c r="AA58" s="57" t="str">
        <f>CONCATENATE("(",Q144," =&gt; ")</f>
        <v xml:space="preserve">(0 =&gt; </v>
      </c>
      <c r="AB58" s="15">
        <f>IF(E58=0,0,Z55+AB56+AB57)</f>
        <v>0</v>
      </c>
      <c r="AC58" s="3" t="s">
        <v>16</v>
      </c>
    </row>
    <row r="59" spans="1:29" x14ac:dyDescent="0.2">
      <c r="I59" s="18"/>
      <c r="J59" s="32" t="s">
        <v>59</v>
      </c>
      <c r="R59" s="20"/>
      <c r="T59" s="1"/>
      <c r="W59" s="15"/>
      <c r="AA59" s="57"/>
      <c r="AB59" s="15"/>
    </row>
    <row r="60" spans="1:29" x14ac:dyDescent="0.2">
      <c r="C60" s="3" t="s">
        <v>8</v>
      </c>
      <c r="E60" s="7">
        <f>IF(E62=0,0,100*E58/E62)</f>
        <v>0</v>
      </c>
      <c r="F60" s="1" t="s">
        <v>22</v>
      </c>
      <c r="I60" s="18"/>
      <c r="J60" s="3" t="s">
        <v>253</v>
      </c>
      <c r="M60" s="24" t="str">
        <f>C13</f>
        <v>Marius Valga</v>
      </c>
      <c r="N60" s="3" t="s">
        <v>246</v>
      </c>
      <c r="O60" s="65" t="s">
        <v>255</v>
      </c>
      <c r="P60" s="65"/>
      <c r="R60" s="20"/>
      <c r="T60" s="1"/>
      <c r="W60" s="15"/>
      <c r="AA60" s="57"/>
      <c r="AB60" s="15"/>
    </row>
    <row r="61" spans="1:29" x14ac:dyDescent="0.2">
      <c r="I61" s="18"/>
      <c r="J61" s="3" t="s">
        <v>253</v>
      </c>
      <c r="M61" s="24" t="str">
        <f>C66</f>
        <v>Hasell</v>
      </c>
      <c r="N61" s="3" t="s">
        <v>246</v>
      </c>
      <c r="O61" s="65" t="s">
        <v>255</v>
      </c>
      <c r="P61" s="65"/>
      <c r="R61" s="20"/>
    </row>
    <row r="62" spans="1:29" x14ac:dyDescent="0.2">
      <c r="C62" s="3" t="s">
        <v>19</v>
      </c>
      <c r="E62" s="13">
        <f>E22+E34+E46+E58</f>
        <v>58380</v>
      </c>
      <c r="F62" s="3" t="s">
        <v>17</v>
      </c>
      <c r="G62" s="13">
        <f>G22+G34+G46+G58</f>
        <v>98196</v>
      </c>
      <c r="H62" s="3" t="s">
        <v>16</v>
      </c>
      <c r="I62" s="18"/>
      <c r="J62" s="3" t="str">
        <f>IF(L62="Moral ?","Erreur !",IF(L62="Défaite","Obligatoirement",IF(L62="","Pas de Malus de Moral","Malus de Moral de")))</f>
        <v>Pas de Malus de Moral</v>
      </c>
      <c r="L62" s="24" t="str">
        <f>IF(O60="Démoralisé","Défaite",IF(OR(O60="OK",O60="Entamé"),"",IF(O60="Faible",-1,IF(O60="Très Faible",-3,"Moral ?"))))</f>
        <v/>
      </c>
      <c r="M62" s="3" t="s">
        <v>237</v>
      </c>
      <c r="O62" s="24" t="str">
        <f>C13</f>
        <v>Marius Valga</v>
      </c>
      <c r="R62" s="20"/>
      <c r="S62" s="1"/>
      <c r="T62" s="1" t="s">
        <v>19</v>
      </c>
      <c r="U62" s="1"/>
      <c r="V62" s="1"/>
      <c r="W62" s="1" t="str">
        <f>CONCATENATE(O145," =&gt;"," ",M144)</f>
        <v>58 380 =&gt; 58 380</v>
      </c>
      <c r="X62" s="1" t="s">
        <v>252</v>
      </c>
      <c r="Y62" s="1"/>
      <c r="Z62" s="1"/>
      <c r="AA62" s="43" t="str">
        <f>CONCATENATE("(",Q145," =&gt; ")</f>
        <v xml:space="preserve">(98 196 =&gt; </v>
      </c>
      <c r="AB62" s="76">
        <f>AB22+AB34+AB46+AB58</f>
        <v>98196</v>
      </c>
      <c r="AC62" s="1" t="s">
        <v>16</v>
      </c>
    </row>
    <row r="63" spans="1:29" ht="15" thickBot="1" x14ac:dyDescent="0.25">
      <c r="E63" s="15"/>
      <c r="G63" s="15"/>
      <c r="I63" s="20"/>
      <c r="J63" s="3" t="str">
        <f>IF(L63="Moral ?","Erreur !",IF(L63="Défaite","Obligatoirement",IF(L63="","Pas de Malus de Moral","Malus de Moral de")))</f>
        <v>Pas de Malus de Moral</v>
      </c>
      <c r="L63" s="24" t="str">
        <f>IF(O61="Démoralisé","Défaite",IF(OR(O61="OK",O61="Entamé"),"",IF(O61="Faible",-1,IF(O61="Très Faible",-3,"Moral ?"))))</f>
        <v/>
      </c>
      <c r="M63" s="3" t="s">
        <v>237</v>
      </c>
      <c r="O63" s="24" t="str">
        <f>C66</f>
        <v>Hasell</v>
      </c>
      <c r="R63" s="20"/>
      <c r="W63" s="15"/>
      <c r="Z63" s="15"/>
    </row>
    <row r="64" spans="1:29" ht="15.75" thickTop="1" thickBot="1" x14ac:dyDescent="0.25">
      <c r="A64" s="16"/>
      <c r="B64" s="17" t="s">
        <v>18</v>
      </c>
      <c r="C64" s="16"/>
      <c r="D64" s="16"/>
      <c r="E64" s="16"/>
      <c r="F64" s="16"/>
      <c r="G64" s="16"/>
      <c r="H64" s="16"/>
      <c r="I64" s="18"/>
      <c r="J64" s="2" t="s">
        <v>213</v>
      </c>
      <c r="L64" s="24" t="str">
        <f>IF(OR(O60="",O61="",O60="* Définir Moral *",O61="* Définir Moral *"),"Erreur : Merci de renseigner le Moral des troupes !",IF(OR(O60="Démoralisé",O61="Démoralisé"),"Erreur : Une armée Démoralisée ne peut combattre !","Conforme aux Règles du Wargame"))</f>
        <v>Conforme aux Règles du Wargame</v>
      </c>
      <c r="R64" s="20"/>
      <c r="S64" s="16"/>
      <c r="T64" s="17" t="s">
        <v>18</v>
      </c>
      <c r="U64" s="16"/>
      <c r="V64" s="16"/>
      <c r="W64" s="16"/>
      <c r="X64" s="16"/>
      <c r="Y64" s="16"/>
      <c r="Z64" s="16"/>
      <c r="AA64" s="16"/>
      <c r="AB64" s="16"/>
      <c r="AC64" s="16"/>
    </row>
    <row r="65" spans="1:29" ht="15" thickTop="1" x14ac:dyDescent="0.2">
      <c r="I65" s="18"/>
      <c r="J65" s="1"/>
      <c r="R65" s="20"/>
    </row>
    <row r="66" spans="1:29" x14ac:dyDescent="0.2">
      <c r="B66" s="3" t="s">
        <v>20</v>
      </c>
      <c r="C66" s="11" t="s">
        <v>367</v>
      </c>
      <c r="I66" s="18"/>
      <c r="J66" s="32" t="s">
        <v>260</v>
      </c>
      <c r="R66" s="20"/>
    </row>
    <row r="67" spans="1:29" x14ac:dyDescent="0.2">
      <c r="I67" s="18"/>
      <c r="J67" s="3" t="s">
        <v>261</v>
      </c>
      <c r="M67" s="24" t="str">
        <f>C13</f>
        <v>Marius Valga</v>
      </c>
      <c r="N67" s="3" t="s">
        <v>246</v>
      </c>
      <c r="O67" s="11">
        <v>1</v>
      </c>
      <c r="R67" s="20"/>
    </row>
    <row r="68" spans="1:29" x14ac:dyDescent="0.2">
      <c r="B68" s="3" t="s">
        <v>61</v>
      </c>
      <c r="C68" s="65" t="s">
        <v>31</v>
      </c>
      <c r="D68" s="65"/>
      <c r="E68" s="3" t="s">
        <v>48</v>
      </c>
      <c r="F68" s="70" t="str">
        <f>IF(E$8="Mode Poursuite","(Mode Fuite)",IF(E$8="Mode Fuite","(Mode Poursuite)",""))</f>
        <v/>
      </c>
      <c r="G68" s="70"/>
      <c r="I68" s="18"/>
      <c r="J68" s="3" t="s">
        <v>261</v>
      </c>
      <c r="M68" s="24" t="str">
        <f>C66</f>
        <v>Hasell</v>
      </c>
      <c r="N68" s="3" t="s">
        <v>246</v>
      </c>
      <c r="O68" s="11">
        <v>1</v>
      </c>
      <c r="R68" s="20"/>
      <c r="T68" s="3" t="str">
        <f>CONCATENATE("Troupes ",C68," : ",P$189," % de pertes",Q189,Q190,Q191,L$184)</f>
        <v>Troupes d'Elinhir : 82 % de pertes (Méga Ouch^^)</v>
      </c>
    </row>
    <row r="69" spans="1:29" x14ac:dyDescent="0.2">
      <c r="I69" s="18"/>
      <c r="J69" s="39" t="s">
        <v>274</v>
      </c>
      <c r="K69" s="3" t="str">
        <f>IF(ISODD(G153-G154),"Différence impaire =&gt; Lancer un D2 !","Différence paire, pas de D2 à lancer.")</f>
        <v>Différence paire, pas de D2 à lancer.</v>
      </c>
      <c r="R69" s="20"/>
    </row>
    <row r="70" spans="1:29" x14ac:dyDescent="0.2">
      <c r="B70" s="66" t="s">
        <v>366</v>
      </c>
      <c r="C70" s="66"/>
      <c r="D70" s="66"/>
      <c r="E70" s="66"/>
      <c r="F70" s="66"/>
      <c r="G70" s="66"/>
      <c r="H70" s="66"/>
      <c r="I70" s="18"/>
      <c r="J70" s="3" t="s">
        <v>264</v>
      </c>
      <c r="M70" s="26" t="s">
        <v>312</v>
      </c>
      <c r="R70" s="20"/>
      <c r="T70" s="56" t="str">
        <f>CONCATENATE(B70,L$180)</f>
        <v>Les Armures du Désert</v>
      </c>
    </row>
    <row r="71" spans="1:29" x14ac:dyDescent="0.2">
      <c r="A71" s="3" t="str">
        <f>IF(C71="","","# ")</f>
        <v/>
      </c>
      <c r="B71" s="55"/>
      <c r="C71" s="64"/>
      <c r="D71" s="64"/>
      <c r="E71" s="64"/>
      <c r="F71" s="64"/>
      <c r="G71" s="64"/>
      <c r="H71" s="64"/>
      <c r="I71" s="18"/>
      <c r="J71" s="3" t="str">
        <f>IF(OR(G153=G154,AND(ABS(G153-G154)=1,G155=0)),"Modificateur Stratégique :","Modificateur Stratégique :            +")</f>
        <v>Modificateur Stratégique :</v>
      </c>
      <c r="M71" s="24" t="str">
        <f>IF(TRUNC(ABS((G153-G154)/2),0)+G155=0,"Égalité",TRUNC(ABS((G153-G154)/2),0)+G155)</f>
        <v>Égalité</v>
      </c>
      <c r="N71" s="3" t="str">
        <f>IF(OR(G153=G154,AND(ABS(G153-G154)=1,G155=0)),"","pour")</f>
        <v/>
      </c>
      <c r="O71" s="24" t="str">
        <f>IF(OR(G153=G154,AND(ABS(G153-G154)=1,G155=0)),"",IF(G153&gt;G154,C13,C66))</f>
        <v/>
      </c>
      <c r="R71" s="20"/>
      <c r="S71" s="3" t="str">
        <f>A71</f>
        <v/>
      </c>
      <c r="T71" s="3">
        <f>B71</f>
        <v>0</v>
      </c>
      <c r="U71" s="3">
        <f>C71</f>
        <v>0</v>
      </c>
    </row>
    <row r="72" spans="1:29" x14ac:dyDescent="0.2">
      <c r="A72" s="3" t="s">
        <v>6</v>
      </c>
      <c r="B72" s="12">
        <v>2248</v>
      </c>
      <c r="C72" s="33" t="s">
        <v>10</v>
      </c>
      <c r="D72" s="3" t="s">
        <v>13</v>
      </c>
      <c r="E72" s="13">
        <f>5*B72</f>
        <v>11240</v>
      </c>
      <c r="F72" s="3" t="s">
        <v>14</v>
      </c>
      <c r="I72" s="18"/>
      <c r="J72" s="2" t="s">
        <v>213</v>
      </c>
      <c r="L72" s="24" t="str">
        <f>IF(OR(O67="",O67="* Définir Niveau *",O68="",O68="* Définir Niveau *"),"Info : Merci de définir le niveau pour chaque Camp.",IF(AND(ISEVEN(G153-G154),M70="Oui"),"Info : La différence étant paire, le bonus du D2 sera ignoré.","Conforme aux Règles du Wargame"))</f>
        <v>Conforme aux Règles du Wargame</v>
      </c>
      <c r="R72" s="20"/>
      <c r="S72" s="3" t="s">
        <v>6</v>
      </c>
      <c r="T72" s="15">
        <f>B72</f>
        <v>2248</v>
      </c>
      <c r="U72" s="31" t="s">
        <v>338</v>
      </c>
      <c r="V72" s="15">
        <f>ROUND(T72*(1-M$189/100),0)</f>
        <v>405</v>
      </c>
      <c r="W72" s="3" t="str">
        <f>C72</f>
        <v>Fantassins</v>
      </c>
      <c r="Y72" s="35" t="s">
        <v>340</v>
      </c>
      <c r="Z72" s="15">
        <f>V72*5</f>
        <v>2025</v>
      </c>
      <c r="AA72" s="3" t="s">
        <v>14</v>
      </c>
    </row>
    <row r="73" spans="1:29" x14ac:dyDescent="0.2">
      <c r="A73" s="3" t="s">
        <v>6</v>
      </c>
      <c r="B73" s="12">
        <v>580</v>
      </c>
      <c r="C73" s="33" t="s">
        <v>11</v>
      </c>
      <c r="D73" s="3" t="s">
        <v>13</v>
      </c>
      <c r="E73" s="13">
        <f>10*B73</f>
        <v>5800</v>
      </c>
      <c r="F73" s="3" t="s">
        <v>15</v>
      </c>
      <c r="G73" s="13">
        <f>IF(E$8="Mode Fuite",16*B73,IF(E$8="Mode Poursuite",10*B73,4*B73))</f>
        <v>2320</v>
      </c>
      <c r="H73" s="3" t="str">
        <f>IF(E$8="Mode Poursuite","PU en Fuite)",IF(E$8="Mode Fuite","PU en Poursuite)","PU en Siège)"))</f>
        <v>PU en Siège)</v>
      </c>
      <c r="I73" s="18"/>
      <c r="R73" s="20"/>
      <c r="S73" s="3" t="s">
        <v>6</v>
      </c>
      <c r="T73" s="15">
        <f t="shared" ref="T73:T74" si="4">B73</f>
        <v>580</v>
      </c>
      <c r="U73" s="31" t="s">
        <v>338</v>
      </c>
      <c r="V73" s="15">
        <f>ROUND(T73*(1-M$190/100),0)</f>
        <v>104</v>
      </c>
      <c r="W73" s="3" t="str">
        <f>C73</f>
        <v>Cavaliers</v>
      </c>
      <c r="Y73" s="35" t="s">
        <v>340</v>
      </c>
      <c r="Z73" s="15">
        <f>V73*10</f>
        <v>1040</v>
      </c>
      <c r="AA73" s="3" t="s">
        <v>15</v>
      </c>
      <c r="AB73" s="15">
        <f>V73*4</f>
        <v>416</v>
      </c>
      <c r="AC73" s="3" t="s">
        <v>16</v>
      </c>
    </row>
    <row r="74" spans="1:29" x14ac:dyDescent="0.2">
      <c r="A74" s="3" t="s">
        <v>6</v>
      </c>
      <c r="B74" s="12">
        <v>197</v>
      </c>
      <c r="C74" s="33" t="s">
        <v>12</v>
      </c>
      <c r="D74" s="3" t="s">
        <v>13</v>
      </c>
      <c r="E74" s="13">
        <f>5*B74</f>
        <v>985</v>
      </c>
      <c r="F74" s="3" t="s">
        <v>15</v>
      </c>
      <c r="G74" s="13">
        <f>16*B74</f>
        <v>3152</v>
      </c>
      <c r="H74" s="3" t="s">
        <v>16</v>
      </c>
      <c r="I74" s="19"/>
      <c r="J74" s="32" t="s">
        <v>283</v>
      </c>
      <c r="R74" s="20"/>
      <c r="S74" s="3" t="s">
        <v>6</v>
      </c>
      <c r="T74" s="15">
        <f t="shared" si="4"/>
        <v>197</v>
      </c>
      <c r="U74" s="31" t="s">
        <v>338</v>
      </c>
      <c r="V74" s="15">
        <f>ROUND(T74*(1-M$191/100),0)</f>
        <v>35</v>
      </c>
      <c r="W74" s="3" t="str">
        <f>C74</f>
        <v>Unités de Siège</v>
      </c>
      <c r="Y74" s="35" t="s">
        <v>340</v>
      </c>
      <c r="Z74" s="15">
        <f>V74*5</f>
        <v>175</v>
      </c>
      <c r="AA74" s="3" t="s">
        <v>15</v>
      </c>
      <c r="AB74" s="15">
        <f>V74*16</f>
        <v>560</v>
      </c>
      <c r="AC74" s="3" t="s">
        <v>16</v>
      </c>
    </row>
    <row r="75" spans="1:29" x14ac:dyDescent="0.2">
      <c r="B75" s="67" t="s">
        <v>7</v>
      </c>
      <c r="C75" s="67"/>
      <c r="D75" s="1"/>
      <c r="E75" s="14">
        <f>IF(OR(C68="* Indiquez votre Seigneurie *",C68=""),0,IF(OR(E$8="",E$8="Mode Fuite"),E72+G73+E74,E72+E73+E74))</f>
        <v>18025</v>
      </c>
      <c r="F75" s="1" t="s">
        <v>17</v>
      </c>
      <c r="G75" s="14">
        <f>IF(OR(C68="* Indiquez votre Seigneurie *",C68=""),0,E72+G73+G74)</f>
        <v>16712</v>
      </c>
      <c r="H75" s="1" t="s">
        <v>16</v>
      </c>
      <c r="I75" s="18"/>
      <c r="J75" s="3" t="s">
        <v>276</v>
      </c>
      <c r="L75" s="3">
        <f>SUM(J149:J155)</f>
        <v>20</v>
      </c>
      <c r="N75" s="3" t="s">
        <v>275</v>
      </c>
      <c r="O75" s="24" t="str">
        <f>C13</f>
        <v>Marius Valga</v>
      </c>
      <c r="R75" s="20"/>
      <c r="T75" s="1" t="s">
        <v>7</v>
      </c>
      <c r="U75" s="3" t="str">
        <f>CONCATENATE(P141," =&gt;")</f>
        <v>18 025 =&gt;</v>
      </c>
      <c r="W75" s="15">
        <f>IF(E75=0,0,Z72+Z73+Z74)</f>
        <v>3240</v>
      </c>
      <c r="X75" s="3" t="s">
        <v>252</v>
      </c>
      <c r="AA75" s="57" t="str">
        <f>CONCATENATE("(",R141," =&gt; ")</f>
        <v xml:space="preserve">(16 712 =&gt; </v>
      </c>
      <c r="AB75" s="15">
        <f>IF(E75=0,0,Z72+AB73+AB74)</f>
        <v>3001</v>
      </c>
      <c r="AC75" s="3" t="s">
        <v>16</v>
      </c>
    </row>
    <row r="76" spans="1:29" x14ac:dyDescent="0.2">
      <c r="I76" s="18"/>
      <c r="J76" s="3" t="s">
        <v>276</v>
      </c>
      <c r="L76" s="3">
        <f>SUM(K149:K155)</f>
        <v>1</v>
      </c>
      <c r="N76" s="3" t="s">
        <v>275</v>
      </c>
      <c r="O76" s="24" t="str">
        <f>C66</f>
        <v>Hasell</v>
      </c>
      <c r="R76" s="20"/>
    </row>
    <row r="77" spans="1:29" x14ac:dyDescent="0.2">
      <c r="C77" s="3" t="s">
        <v>8</v>
      </c>
      <c r="E77" s="7">
        <f>IF(E115=0,0,100*E75/E115)</f>
        <v>100</v>
      </c>
      <c r="F77" s="1" t="s">
        <v>22</v>
      </c>
      <c r="I77" s="18"/>
      <c r="J77" s="3" t="str">
        <f>IF(K77="Égalité","Total :","Total :    +")</f>
        <v>Total :    +</v>
      </c>
      <c r="K77" s="24">
        <f>IF(L75=L76,"Égalité",ABS(L75-L76))</f>
        <v>19</v>
      </c>
      <c r="L77" s="3" t="str">
        <f>IF(K77="Égalité","","pour")</f>
        <v>pour</v>
      </c>
      <c r="M77" s="24" t="str">
        <f>IF(K77="Égalité","",IF(L75&gt;L76,C13,C66))</f>
        <v>Marius Valga</v>
      </c>
      <c r="R77" s="20"/>
    </row>
    <row r="78" spans="1:29" ht="15" thickBot="1" x14ac:dyDescent="0.25">
      <c r="D78" s="7"/>
      <c r="E78" s="1"/>
      <c r="I78" s="20"/>
      <c r="R78" s="20"/>
      <c r="V78" s="7"/>
      <c r="W78" s="1"/>
    </row>
    <row r="79" spans="1:29" x14ac:dyDescent="0.2">
      <c r="A79" s="8"/>
      <c r="B79" s="8"/>
      <c r="C79" s="8"/>
      <c r="D79" s="9"/>
      <c r="E79" s="10"/>
      <c r="F79" s="8"/>
      <c r="G79" s="8"/>
      <c r="H79" s="8"/>
      <c r="I79" s="18"/>
      <c r="J79" s="39" t="s">
        <v>274</v>
      </c>
      <c r="K79" s="4" t="s">
        <v>285</v>
      </c>
      <c r="L79" s="4"/>
      <c r="M79" s="4"/>
      <c r="N79" s="4"/>
      <c r="R79" s="20"/>
      <c r="S79" s="8"/>
      <c r="T79" s="8"/>
      <c r="U79" s="8"/>
      <c r="V79" s="9"/>
      <c r="W79" s="10"/>
      <c r="X79" s="8"/>
      <c r="Y79" s="8"/>
      <c r="Z79" s="8"/>
      <c r="AA79" s="8"/>
      <c r="AB79" s="8"/>
      <c r="AC79" s="8"/>
    </row>
    <row r="80" spans="1:29" x14ac:dyDescent="0.2">
      <c r="A80" s="3" t="s">
        <v>9</v>
      </c>
      <c r="B80" s="3" t="s">
        <v>61</v>
      </c>
      <c r="C80" s="65" t="s">
        <v>23</v>
      </c>
      <c r="D80" s="65"/>
      <c r="E80" s="3" t="s">
        <v>48</v>
      </c>
      <c r="F80" s="70" t="str">
        <f>IF(E$8="Mode Poursuite","(Mode Fuite)",IF(E$8="Mode Fuite","(Mode Poursuite)",""))</f>
        <v/>
      </c>
      <c r="G80" s="70"/>
      <c r="I80" s="18"/>
      <c r="J80" s="3" t="s">
        <v>277</v>
      </c>
      <c r="L80" s="24" t="str">
        <f>C13</f>
        <v>Marius Valga</v>
      </c>
      <c r="N80" s="3" t="s">
        <v>246</v>
      </c>
      <c r="O80" s="11">
        <v>8</v>
      </c>
      <c r="R80" s="20"/>
      <c r="T80" s="3" t="str">
        <f>CONCATENATE("Troupes ",C80," : ",P$189," % de pertes",Q189,Q190,Q191,L$184)</f>
        <v>Troupes * Indiquez votre Seigneurie * : 82 % de pertes (Méga Ouch^^)</v>
      </c>
    </row>
    <row r="81" spans="1:29" x14ac:dyDescent="0.2">
      <c r="I81" s="18"/>
      <c r="J81" s="3" t="s">
        <v>277</v>
      </c>
      <c r="L81" s="24" t="str">
        <f>C66</f>
        <v>Hasell</v>
      </c>
      <c r="N81" s="3" t="s">
        <v>246</v>
      </c>
      <c r="O81" s="11">
        <v>6</v>
      </c>
      <c r="R81" s="20"/>
    </row>
    <row r="82" spans="1:29" x14ac:dyDescent="0.2">
      <c r="B82" s="66" t="s">
        <v>187</v>
      </c>
      <c r="C82" s="66"/>
      <c r="D82" s="66"/>
      <c r="E82" s="66"/>
      <c r="F82" s="66"/>
      <c r="G82" s="66"/>
      <c r="H82" s="66"/>
      <c r="I82" s="18"/>
      <c r="J82" s="3" t="str">
        <f>IF(L82="Égalité","Différence finale :","Différence finale : +")</f>
        <v>Différence finale : +</v>
      </c>
      <c r="L82" s="3">
        <f>IF(F161=G161,"Égalité",ABS(F161-G161))</f>
        <v>21</v>
      </c>
      <c r="M82" s="3" t="str">
        <f>IF(L82="Égalité","","pour")</f>
        <v>pour</v>
      </c>
      <c r="N82" s="24" t="str">
        <f>IF(F161=G161,"",IF(F161&gt;G161,C13,C66))</f>
        <v>Marius Valga</v>
      </c>
      <c r="R82" s="20"/>
      <c r="T82" s="56" t="str">
        <f>CONCATENATE(B82,L$180)</f>
        <v>Les Blessures de l'Usurpateur</v>
      </c>
    </row>
    <row r="83" spans="1:29" x14ac:dyDescent="0.2">
      <c r="A83" s="3" t="str">
        <f>IF(C83="","","# ")</f>
        <v/>
      </c>
      <c r="B83" s="55" t="s">
        <v>182</v>
      </c>
      <c r="C83" s="64"/>
      <c r="D83" s="64"/>
      <c r="E83" s="64"/>
      <c r="F83" s="64"/>
      <c r="G83" s="64"/>
      <c r="H83" s="64"/>
      <c r="I83" s="18"/>
      <c r="J83" s="3" t="s">
        <v>319</v>
      </c>
      <c r="M83" s="68" t="str">
        <f>IF(L159="","Pas de fortifications ici.",CONCATENATE(L160," %"))</f>
        <v>10 % de %</v>
      </c>
      <c r="N83" s="68"/>
      <c r="R83" s="20"/>
      <c r="S83" s="3" t="str">
        <f>A83</f>
        <v/>
      </c>
      <c r="T83" s="3" t="str">
        <f>B83</f>
        <v>* Rang PJ *</v>
      </c>
      <c r="U83" s="3">
        <f>C83</f>
        <v>0</v>
      </c>
    </row>
    <row r="84" spans="1:29" x14ac:dyDescent="0.2">
      <c r="A84" s="3" t="s">
        <v>6</v>
      </c>
      <c r="B84" s="12"/>
      <c r="C84" s="33" t="s">
        <v>10</v>
      </c>
      <c r="D84" s="3" t="s">
        <v>13</v>
      </c>
      <c r="E84" s="13">
        <f>5*B84</f>
        <v>0</v>
      </c>
      <c r="F84" s="3" t="s">
        <v>14</v>
      </c>
      <c r="I84" s="18"/>
      <c r="J84" s="2" t="s">
        <v>213</v>
      </c>
      <c r="L84" s="24" t="str">
        <f>IF(NOT(AND(O80&gt;=2,O80&lt;=12,O81&gt;=2,O81&lt;=12)),"Erreur : Merci d'indiquer la valeur du 2D6 de chaque camp !","Conforme aux Règles du Wargame")</f>
        <v>Conforme aux Règles du Wargame</v>
      </c>
      <c r="R84" s="20"/>
      <c r="S84" s="3" t="s">
        <v>6</v>
      </c>
      <c r="T84" s="15">
        <f>B84</f>
        <v>0</v>
      </c>
      <c r="U84" s="31" t="s">
        <v>338</v>
      </c>
      <c r="V84" s="15">
        <f>ROUND(T84*(1-M$189/100),0)</f>
        <v>0</v>
      </c>
      <c r="W84" s="3" t="str">
        <f>C84</f>
        <v>Fantassins</v>
      </c>
      <c r="Y84" s="35" t="s">
        <v>340</v>
      </c>
      <c r="Z84" s="15">
        <f>V84*5</f>
        <v>0</v>
      </c>
      <c r="AA84" s="3" t="s">
        <v>14</v>
      </c>
    </row>
    <row r="85" spans="1:29" x14ac:dyDescent="0.2">
      <c r="A85" s="3" t="s">
        <v>6</v>
      </c>
      <c r="B85" s="12"/>
      <c r="C85" s="33" t="s">
        <v>11</v>
      </c>
      <c r="D85" s="3" t="s">
        <v>13</v>
      </c>
      <c r="E85" s="13">
        <f>10*B85</f>
        <v>0</v>
      </c>
      <c r="F85" s="3" t="s">
        <v>15</v>
      </c>
      <c r="G85" s="13">
        <f>IF(E$8="Mode Fuite",16*B85,IF(E$8="Mode Poursuite",10*B85,4*B85))</f>
        <v>0</v>
      </c>
      <c r="H85" s="3" t="str">
        <f>IF(E$8="Mode Poursuite","PU en Fuite)",IF(E$8="Mode Fuite","PU en Poursuite)","PU en Siège)"))</f>
        <v>PU en Siège)</v>
      </c>
      <c r="I85" s="18"/>
      <c r="R85" s="20"/>
      <c r="S85" s="3" t="s">
        <v>6</v>
      </c>
      <c r="T85" s="15">
        <f t="shared" ref="T85:T86" si="5">B85</f>
        <v>0</v>
      </c>
      <c r="U85" s="31" t="s">
        <v>338</v>
      </c>
      <c r="V85" s="15">
        <f>ROUND(T85*(1-M$190/100),0)</f>
        <v>0</v>
      </c>
      <c r="W85" s="3" t="str">
        <f>C85</f>
        <v>Cavaliers</v>
      </c>
      <c r="Y85" s="35" t="s">
        <v>340</v>
      </c>
      <c r="Z85" s="15">
        <f>V85*10</f>
        <v>0</v>
      </c>
      <c r="AA85" s="3" t="s">
        <v>15</v>
      </c>
      <c r="AB85" s="15">
        <f>V85*4</f>
        <v>0</v>
      </c>
      <c r="AC85" s="3" t="s">
        <v>16</v>
      </c>
    </row>
    <row r="86" spans="1:29" x14ac:dyDescent="0.2">
      <c r="A86" s="3" t="s">
        <v>6</v>
      </c>
      <c r="B86" s="12"/>
      <c r="C86" s="33" t="s">
        <v>12</v>
      </c>
      <c r="D86" s="3" t="s">
        <v>13</v>
      </c>
      <c r="E86" s="13">
        <f>5*B86</f>
        <v>0</v>
      </c>
      <c r="F86" s="3" t="s">
        <v>15</v>
      </c>
      <c r="G86" s="13">
        <f>16*B86</f>
        <v>0</v>
      </c>
      <c r="H86" s="3" t="s">
        <v>16</v>
      </c>
      <c r="I86" s="19"/>
      <c r="J86" s="41" t="s">
        <v>284</v>
      </c>
      <c r="R86" s="20"/>
      <c r="S86" s="3" t="s">
        <v>6</v>
      </c>
      <c r="T86" s="15">
        <f t="shared" si="5"/>
        <v>0</v>
      </c>
      <c r="U86" s="31" t="s">
        <v>338</v>
      </c>
      <c r="V86" s="15">
        <f>ROUND(T86*(1-M$191/100),0)</f>
        <v>0</v>
      </c>
      <c r="W86" s="3" t="str">
        <f>C86</f>
        <v>Unités de Siège</v>
      </c>
      <c r="Y86" s="35" t="s">
        <v>340</v>
      </c>
      <c r="Z86" s="15">
        <f>V86*5</f>
        <v>0</v>
      </c>
      <c r="AA86" s="3" t="s">
        <v>15</v>
      </c>
      <c r="AB86" s="15">
        <f>V86*16</f>
        <v>0</v>
      </c>
      <c r="AC86" s="3" t="s">
        <v>16</v>
      </c>
    </row>
    <row r="87" spans="1:29" x14ac:dyDescent="0.2">
      <c r="B87" s="67" t="s">
        <v>7</v>
      </c>
      <c r="C87" s="67"/>
      <c r="D87" s="1"/>
      <c r="E87" s="14">
        <f>IF(OR(C80="* Indiquez votre Seigneurie *",C80=""),0,IF(OR(E$8="",E$8="Mode Fuite"),E84+G85+E86,E84+E85+E86))</f>
        <v>0</v>
      </c>
      <c r="F87" s="1" t="s">
        <v>17</v>
      </c>
      <c r="G87" s="14">
        <f>IF(OR(C80="* Indiquez votre Seigneurie *",C80=""),0,E84+G85+G86)</f>
        <v>0</v>
      </c>
      <c r="H87" s="1" t="s">
        <v>16</v>
      </c>
      <c r="I87" s="18"/>
      <c r="R87" s="20"/>
      <c r="T87" s="1" t="s">
        <v>7</v>
      </c>
      <c r="U87" s="3" t="str">
        <f>CONCATENATE(P142," =&gt;")</f>
        <v>0 =&gt;</v>
      </c>
      <c r="W87" s="15">
        <f>IF(E87=0,0,Z84+Z85+Z86)</f>
        <v>0</v>
      </c>
      <c r="X87" s="3" t="s">
        <v>252</v>
      </c>
      <c r="AA87" s="57" t="str">
        <f>CONCATENATE("(",R142," =&gt; ")</f>
        <v xml:space="preserve">(0 =&gt; </v>
      </c>
      <c r="AB87" s="15">
        <f>IF(E87=0,0,Z84+AB85+AB86)</f>
        <v>0</v>
      </c>
      <c r="AC87" s="3" t="s">
        <v>16</v>
      </c>
    </row>
    <row r="88" spans="1:29" x14ac:dyDescent="0.2">
      <c r="I88" s="18"/>
      <c r="J88" s="39" t="s">
        <v>274</v>
      </c>
      <c r="K88" s="4" t="s">
        <v>286</v>
      </c>
      <c r="L88" s="40" t="str">
        <f>IF(OR(L82="Égalité",L82&lt;=3,L82=""),"4 D6",IF(AND(L82&lt;=7,N82=C13),"2 D6",IF(AND(L82&lt;=12,N82=C13),"1 D6",IF(AND(L82&lt;=18,N82=C13),"1 D3",IF(AND(L82&gt;=19,N82=C13),"Aucun dé",IF(AND(L82&lt;=7,N82=C66),"6 D6",IF(AND(L82&lt;=12,N82=C66),"8 D6",IF(AND(L82&lt;=18,N82=C66),"10 D6",IF(AND(19&lt;=L82,N82=C66),"12 D6","Erreur !")))))))))</f>
        <v>Aucun dé</v>
      </c>
      <c r="M88" s="4" t="s">
        <v>237</v>
      </c>
      <c r="N88" s="4"/>
      <c r="O88" s="40" t="str">
        <f>C13</f>
        <v>Marius Valga</v>
      </c>
      <c r="R88" s="20"/>
    </row>
    <row r="89" spans="1:29" x14ac:dyDescent="0.2">
      <c r="C89" s="3" t="s">
        <v>8</v>
      </c>
      <c r="E89" s="7">
        <f>IF(E115=0,0,100*E87/E115)</f>
        <v>0</v>
      </c>
      <c r="F89" s="1" t="s">
        <v>22</v>
      </c>
      <c r="I89" s="18"/>
      <c r="K89" s="4" t="s">
        <v>286</v>
      </c>
      <c r="L89" s="40" t="str">
        <f>IF(OR(L82="Égalité",L82&lt;=3,L82=""),"4 D6",IF(AND(L82&lt;=7,N82=C66),"2 D6",IF(AND(L82&lt;=12,N82=C66),"1 D6",IF(AND(L82&lt;=18,N82=C66),"1 D3",IF(AND(L82&gt;=19,N82=C66),"Aucun dé",IF(AND(L82&lt;=7,N82=C13),"6 D6",IF(AND(L82&lt;=12,N82=C13),"8 D6",IF(AND(L82&lt;=18,N82=C13),"10 D6",IF(AND(19&lt;=L82,N82=C13),"12 D6","Erreur !")))))))))</f>
        <v>12 D6</v>
      </c>
      <c r="M89" s="4" t="s">
        <v>237</v>
      </c>
      <c r="N89" s="4"/>
      <c r="O89" s="40" t="str">
        <f>C66</f>
        <v>Hasell</v>
      </c>
      <c r="R89" s="20"/>
    </row>
    <row r="90" spans="1:29" ht="15" thickBot="1" x14ac:dyDescent="0.25">
      <c r="D90" s="7"/>
      <c r="E90" s="1"/>
      <c r="I90" s="20"/>
      <c r="J90" s="3" t="s">
        <v>287</v>
      </c>
      <c r="M90" s="42" t="str">
        <f>C13</f>
        <v>Marius Valga</v>
      </c>
      <c r="N90" s="3" t="s">
        <v>246</v>
      </c>
      <c r="O90" s="11">
        <v>12</v>
      </c>
      <c r="R90" s="20"/>
      <c r="V90" s="7"/>
      <c r="W90" s="1"/>
    </row>
    <row r="91" spans="1:29" x14ac:dyDescent="0.2">
      <c r="A91" s="8"/>
      <c r="B91" s="8"/>
      <c r="C91" s="8"/>
      <c r="D91" s="9"/>
      <c r="E91" s="10"/>
      <c r="F91" s="8"/>
      <c r="G91" s="8"/>
      <c r="H91" s="8"/>
      <c r="I91" s="18"/>
      <c r="J91" s="3" t="s">
        <v>287</v>
      </c>
      <c r="M91" s="42" t="str">
        <f>C66</f>
        <v>Hasell</v>
      </c>
      <c r="N91" s="3" t="s">
        <v>246</v>
      </c>
      <c r="O91" s="11">
        <v>22</v>
      </c>
      <c r="R91" s="20"/>
      <c r="S91" s="8"/>
      <c r="T91" s="8"/>
      <c r="U91" s="8"/>
      <c r="V91" s="9"/>
      <c r="W91" s="10"/>
      <c r="X91" s="8"/>
      <c r="Y91" s="8"/>
      <c r="Z91" s="8"/>
      <c r="AA91" s="8"/>
      <c r="AB91" s="8"/>
      <c r="AC91" s="8"/>
    </row>
    <row r="92" spans="1:29" x14ac:dyDescent="0.2">
      <c r="A92" s="3" t="s">
        <v>9</v>
      </c>
      <c r="B92" s="3" t="s">
        <v>61</v>
      </c>
      <c r="C92" s="65" t="s">
        <v>23</v>
      </c>
      <c r="D92" s="65"/>
      <c r="E92" s="3" t="s">
        <v>48</v>
      </c>
      <c r="F92" s="70" t="str">
        <f>IF(E$8="Mode Poursuite","(Mode Fuite)",IF(E$8="Mode Fuite","(Mode Poursuite)",""))</f>
        <v/>
      </c>
      <c r="G92" s="70"/>
      <c r="I92" s="18"/>
      <c r="J92" s="2" t="s">
        <v>213</v>
      </c>
      <c r="R92" s="20"/>
      <c r="T92" s="3" t="str">
        <f>CONCATENATE("Troupes ",C92," : ",P$189," % de pertes",Q189,Q190,Q191,L$184)</f>
        <v>Troupes * Indiquez votre Seigneurie * : 82 % de pertes (Méga Ouch^^)</v>
      </c>
    </row>
    <row r="93" spans="1:29" x14ac:dyDescent="0.2">
      <c r="I93" s="18"/>
      <c r="J93" s="68" t="str">
        <f>IF(J163="Test1Err","Erreur : Veuillez renseigner la valeur du jet de pertes pour chaque camp !",IF(J164="Test2Err","Erreur : la valeur du jet du Camp 1 est trop faible par rapport aux dés lancés !",IF(J165="Test3Err","Erreur : la valeur du jet du Camp 2 est trop faible par rapport aux dés lancés !",IF(G167="Test4Err","Erreur : la valeur du jet du Camp 1 est trop élévée par rapport aux dés lancés !",IF(G168="Test5Err","Erreur : la valeur du jet du Camp 2 est trop élévée par rapport aux dés lancés !","Conforme aux Règles du Wargame")))))</f>
        <v>Erreur : la valeur du jet du Camp 1 est trop élévée par rapport aux dés lancés !</v>
      </c>
      <c r="K93" s="68"/>
      <c r="L93" s="68"/>
      <c r="M93" s="68"/>
      <c r="N93" s="68"/>
      <c r="O93" s="68"/>
      <c r="P93" s="68"/>
      <c r="R93" s="20"/>
    </row>
    <row r="94" spans="1:29" x14ac:dyDescent="0.2">
      <c r="B94" s="66" t="s">
        <v>5</v>
      </c>
      <c r="C94" s="66"/>
      <c r="D94" s="66"/>
      <c r="E94" s="66"/>
      <c r="F94" s="66"/>
      <c r="G94" s="66"/>
      <c r="H94" s="66"/>
      <c r="I94" s="18"/>
      <c r="J94" s="3" t="s">
        <v>305</v>
      </c>
      <c r="M94" s="42" t="str">
        <f>C13</f>
        <v>Marius Valga</v>
      </c>
      <c r="N94" s="3" t="s">
        <v>246</v>
      </c>
      <c r="O94" s="44">
        <f>IF(OR(L82="Égalité",L82&lt;=1,L82=""),10+O90,IF(AND(L82&lt;=3,N82=C13),5+O90,IF(AND(L82&lt;=5,N82=C13),8+O90,IF(AND(L82&lt;=7,N82=C13),4+O90,IF(AND(L82&lt;=9,N82=C13),4+O90,IF(AND(L82&lt;=11,N82=C13),2+O90,IF(AND(L82=12,N82=C13),1+O90,IF(AND(L82&lt;=14,N82=C13),1+O90,IF(AND(L82&lt;=16,N82=C13),O90,IF(AND(L82&lt;=18,N82=C13),O90/2,IF(AND(L82&gt;=19,N82=C13),0,IF(AND(L82&lt;=3,N82=C66),15+O90,IF(AND(L82&lt;=5,N82=C66),14+O90,IF(AND(L82&lt;=7,N82=C66),20+O90,IF(AND(L82&lt;=9,N82=C66),21+O90,IF(AND(L82&lt;=11,N82=C66),30+O90,IF(AND(L82=12,N82=C66),35+O90,IF(AND(L82&lt;=14,N82=C66),40+O90,IF(AND(L82&lt;=16,N82=C66),46+O90,IF(AND(L82&lt;=18,N82=C66),55+O90,IF(AND(L82&gt;=19,N82=C66),60+O90,"Erreur !")))))))))))))))))))))</f>
        <v>0</v>
      </c>
      <c r="P94" s="3" t="s">
        <v>22</v>
      </c>
      <c r="R94" s="20"/>
      <c r="T94" s="56" t="str">
        <f>CONCATENATE(B94,L$180)</f>
        <v>Nom de l'armée</v>
      </c>
    </row>
    <row r="95" spans="1:29" x14ac:dyDescent="0.2">
      <c r="A95" s="3" t="str">
        <f>IF(C95="","","# ")</f>
        <v xml:space="preserve"># </v>
      </c>
      <c r="B95" s="55" t="s">
        <v>182</v>
      </c>
      <c r="C95" s="64" t="s">
        <v>21</v>
      </c>
      <c r="D95" s="64"/>
      <c r="E95" s="64"/>
      <c r="F95" s="64"/>
      <c r="G95" s="64"/>
      <c r="H95" s="64"/>
      <c r="I95" s="18"/>
      <c r="J95" s="3" t="s">
        <v>305</v>
      </c>
      <c r="M95" s="42" t="str">
        <f>C66</f>
        <v>Hasell</v>
      </c>
      <c r="N95" s="3" t="s">
        <v>246</v>
      </c>
      <c r="O95" s="44">
        <f>IF(OR(L82="Égalité",L82&lt;=1,L82=""),10+O91,IF(AND(L82&lt;=3,N82=C66),5+O91,IF(AND(L82&lt;=5,N82=C66),8+O91,IF(AND(L82&lt;=7,N82=C66),4+O91,IF(AND(L82&lt;=9,N82=C66),4+O91,IF(AND(L82&lt;=11,N82=C66),2+O91,IF(AND(L82=12,N82=C66),1+O91,IF(AND(L82&lt;=14,N82=C66),1+O91,IF(AND(L82&lt;=16,N82=C66),O91,IF(AND(L82&lt;=18,N82=C66),O91/2,IF(AND(L82&gt;=19,N82=C66),0,IF(AND(L82&lt;=3,N82=C13),15+O91,IF(AND(L82&lt;=5,N82=C13),14+O91,IF(AND(L82&lt;=7,N82=C13),20+O91,IF(AND(L82&lt;=9,N82=C13),21+O91,IF(AND(L82&lt;=11,N82=C13),30+O91,IF(AND(L82=12,N82=C13),35+O91,IF(AND(L82&lt;=14,N82=C13),40+O91,IF(AND(L82&lt;=16,N82=C13),46+O91,IF(AND(L82&lt;=18,N82=C13),55+O91,IF(AND(L82&gt;=19,N82=C13),60+O91,"Erreur !")))))))))))))))))))))</f>
        <v>82</v>
      </c>
      <c r="P95" s="3" t="s">
        <v>22</v>
      </c>
      <c r="R95" s="20"/>
      <c r="S95" s="3" t="str">
        <f>A95</f>
        <v xml:space="preserve"># </v>
      </c>
      <c r="T95" s="3" t="str">
        <f>B95</f>
        <v>* Rang PJ *</v>
      </c>
      <c r="U95" s="3" t="str">
        <f>C95</f>
        <v>Indiquez la présence de vos Seigneurs ici</v>
      </c>
    </row>
    <row r="96" spans="1:29" x14ac:dyDescent="0.2">
      <c r="A96" s="3" t="s">
        <v>6</v>
      </c>
      <c r="B96" s="12"/>
      <c r="C96" s="33" t="s">
        <v>10</v>
      </c>
      <c r="D96" s="3" t="s">
        <v>13</v>
      </c>
      <c r="E96" s="13">
        <f>5*B96</f>
        <v>0</v>
      </c>
      <c r="F96" s="3" t="s">
        <v>14</v>
      </c>
      <c r="I96" s="18"/>
      <c r="R96" s="20"/>
      <c r="S96" s="3" t="s">
        <v>6</v>
      </c>
      <c r="T96" s="15">
        <f>B96</f>
        <v>0</v>
      </c>
      <c r="U96" s="31" t="s">
        <v>338</v>
      </c>
      <c r="V96" s="15">
        <f>ROUND(T96*(1-M$189/100),0)</f>
        <v>0</v>
      </c>
      <c r="W96" s="3" t="str">
        <f>C96</f>
        <v>Fantassins</v>
      </c>
      <c r="Y96" s="35" t="s">
        <v>340</v>
      </c>
      <c r="Z96" s="15">
        <f>V96*5</f>
        <v>0</v>
      </c>
      <c r="AA96" s="3" t="s">
        <v>14</v>
      </c>
    </row>
    <row r="97" spans="1:29" ht="15" thickBot="1" x14ac:dyDescent="0.25">
      <c r="A97" s="3" t="s">
        <v>6</v>
      </c>
      <c r="B97" s="12"/>
      <c r="C97" s="33" t="s">
        <v>11</v>
      </c>
      <c r="D97" s="3" t="s">
        <v>13</v>
      </c>
      <c r="E97" s="13">
        <f>10*B97</f>
        <v>0</v>
      </c>
      <c r="F97" s="3" t="s">
        <v>15</v>
      </c>
      <c r="G97" s="13">
        <f>IF(E$8="Mode Fuite",16*B97,IF(E$8="Mode Poursuite",10*B97,4*B97))</f>
        <v>0</v>
      </c>
      <c r="H97" s="3" t="str">
        <f>IF(E$8="Mode Poursuite","PU en Fuite)",IF(E$8="Mode Fuite","PU en Poursuite)","PU en Siège)"))</f>
        <v>PU en Siège)</v>
      </c>
      <c r="I97" s="18"/>
      <c r="J97" s="49" t="s">
        <v>333</v>
      </c>
      <c r="K97" s="50"/>
      <c r="L97" s="50"/>
      <c r="M97" s="50"/>
      <c r="N97" s="50"/>
      <c r="O97" s="50"/>
      <c r="P97" s="50"/>
      <c r="Q97" s="50"/>
      <c r="R97" s="20"/>
      <c r="S97" s="3" t="s">
        <v>6</v>
      </c>
      <c r="T97" s="15">
        <f t="shared" ref="T97:T98" si="6">B97</f>
        <v>0</v>
      </c>
      <c r="U97" s="31" t="s">
        <v>338</v>
      </c>
      <c r="V97" s="15">
        <f>ROUND(T97*(1-M$190/100),0)</f>
        <v>0</v>
      </c>
      <c r="W97" s="3" t="str">
        <f>C97</f>
        <v>Cavaliers</v>
      </c>
      <c r="Y97" s="35" t="s">
        <v>340</v>
      </c>
      <c r="Z97" s="15">
        <f>V97*10</f>
        <v>0</v>
      </c>
      <c r="AA97" s="3" t="s">
        <v>15</v>
      </c>
      <c r="AB97" s="15">
        <f>V97*4</f>
        <v>0</v>
      </c>
      <c r="AC97" s="3" t="s">
        <v>16</v>
      </c>
    </row>
    <row r="98" spans="1:29" x14ac:dyDescent="0.2">
      <c r="A98" s="3" t="s">
        <v>6</v>
      </c>
      <c r="B98" s="12"/>
      <c r="C98" s="33" t="s">
        <v>12</v>
      </c>
      <c r="D98" s="3" t="s">
        <v>13</v>
      </c>
      <c r="E98" s="13">
        <f>5*B98</f>
        <v>0</v>
      </c>
      <c r="F98" s="3" t="s">
        <v>15</v>
      </c>
      <c r="G98" s="13">
        <f>16*B98</f>
        <v>0</v>
      </c>
      <c r="H98" s="3" t="s">
        <v>16</v>
      </c>
      <c r="I98" s="19"/>
      <c r="J98" s="47" t="s">
        <v>306</v>
      </c>
      <c r="R98" s="20"/>
      <c r="S98" s="3" t="s">
        <v>6</v>
      </c>
      <c r="T98" s="15">
        <f t="shared" si="6"/>
        <v>0</v>
      </c>
      <c r="U98" s="31" t="s">
        <v>338</v>
      </c>
      <c r="V98" s="15">
        <f>ROUND(T98*(1-M$191/100),0)</f>
        <v>0</v>
      </c>
      <c r="W98" s="3" t="str">
        <f>C98</f>
        <v>Unités de Siège</v>
      </c>
      <c r="Y98" s="35" t="s">
        <v>340</v>
      </c>
      <c r="Z98" s="15">
        <f>V98*5</f>
        <v>0</v>
      </c>
      <c r="AA98" s="3" t="s">
        <v>15</v>
      </c>
      <c r="AB98" s="15">
        <f>V98*16</f>
        <v>0</v>
      </c>
      <c r="AC98" s="3" t="s">
        <v>16</v>
      </c>
    </row>
    <row r="99" spans="1:29" x14ac:dyDescent="0.2">
      <c r="B99" s="67" t="s">
        <v>7</v>
      </c>
      <c r="C99" s="67"/>
      <c r="D99" s="1"/>
      <c r="E99" s="14">
        <f>IF(OR(C92="* Indiquez votre Seigneurie *",C92=""),0,IF(OR(E$8="",E$8="Mode Fuite"),E96+G97+E98,E96+E97+E98))</f>
        <v>0</v>
      </c>
      <c r="F99" s="1" t="s">
        <v>17</v>
      </c>
      <c r="G99" s="14">
        <f>IF(OR(C92="* Indiquez votre Seigneurie *",C92=""),0,E96+G97+G98)</f>
        <v>0</v>
      </c>
      <c r="H99" s="1" t="s">
        <v>16</v>
      </c>
      <c r="I99" s="18"/>
      <c r="R99" s="20"/>
      <c r="T99" s="1" t="s">
        <v>7</v>
      </c>
      <c r="U99" s="3" t="str">
        <f>CONCATENATE(P143," =&gt;")</f>
        <v>0 =&gt;</v>
      </c>
      <c r="W99" s="15">
        <f>IF(E99=0,0,Z96+Z97+Z98)</f>
        <v>0</v>
      </c>
      <c r="X99" s="3" t="s">
        <v>252</v>
      </c>
      <c r="AA99" s="57" t="str">
        <f>CONCATENATE("(",R143," =&gt; ")</f>
        <v xml:space="preserve">(0 =&gt; </v>
      </c>
      <c r="AB99" s="15">
        <f>IF(E99=0,0,Z96+AB97+AB98)</f>
        <v>0</v>
      </c>
      <c r="AC99" s="3" t="s">
        <v>16</v>
      </c>
    </row>
    <row r="100" spans="1:29" x14ac:dyDescent="0.2">
      <c r="I100" s="18"/>
      <c r="J100" s="3" t="str">
        <f>CONCATENATE("• Modif de ratio : ",N141," / ",N142," = ",N143," =&gt; ",N148,O22,O148,M22)</f>
        <v>• Modif de ratio : 98 196 / 16 712 = 5,88 =&gt; +10 pour Marius Valga</v>
      </c>
      <c r="R100" s="20"/>
    </row>
    <row r="101" spans="1:29" x14ac:dyDescent="0.2">
      <c r="C101" s="3" t="s">
        <v>8</v>
      </c>
      <c r="E101" s="7">
        <f>IF(E115=0,0,100*E99/E115)</f>
        <v>0</v>
      </c>
      <c r="F101" s="1" t="s">
        <v>22</v>
      </c>
      <c r="I101" s="18"/>
      <c r="J101" s="3" t="str">
        <f>CONCATENATE("• Modif RP : ",N149," pour ",C13,", ",N150," pour ",C66," =&gt; ",N151,O151,O37)</f>
        <v>• Modif RP : +8 pour Marius Valga, -2 pour Hasell =&gt; +10 pour Marius Valga</v>
      </c>
      <c r="R101" s="20"/>
    </row>
    <row r="102" spans="1:29" ht="15" thickBot="1" x14ac:dyDescent="0.25">
      <c r="D102" s="7"/>
      <c r="E102" s="1"/>
      <c r="I102" s="20"/>
      <c r="J102" s="3" t="str">
        <f>IF(J56="Bonus de Combat à Domicile de +",CONCATENATE("• Bonus Combat à domicile pour le camp de ",C13," =&gt; +1 pour ",C13),"•")</f>
        <v>•</v>
      </c>
      <c r="R102" s="20"/>
      <c r="V102" s="7"/>
      <c r="W102" s="1"/>
    </row>
    <row r="103" spans="1:29" x14ac:dyDescent="0.2">
      <c r="A103" s="8"/>
      <c r="B103" s="8"/>
      <c r="C103" s="8"/>
      <c r="D103" s="9"/>
      <c r="E103" s="10"/>
      <c r="F103" s="8"/>
      <c r="G103" s="8"/>
      <c r="H103" s="8"/>
      <c r="I103" s="18"/>
      <c r="J103" s="3" t="str">
        <f>IF(J57="Bonus de Combat à Domicile de +",CONCATENATE("• Bonus Combat à domicile pour le camp de ",C66," =&gt; +1 pour ",C66),"•")</f>
        <v>• Bonus Combat à domicile pour le camp de Hasell =&gt; +1 pour Hasell</v>
      </c>
      <c r="R103" s="20"/>
      <c r="S103" s="8"/>
      <c r="T103" s="8"/>
      <c r="U103" s="8"/>
      <c r="V103" s="9"/>
      <c r="W103" s="10"/>
      <c r="X103" s="8"/>
      <c r="Y103" s="8"/>
      <c r="Z103" s="8"/>
      <c r="AA103" s="8"/>
      <c r="AB103" s="8"/>
      <c r="AC103" s="8"/>
    </row>
    <row r="104" spans="1:29" x14ac:dyDescent="0.2">
      <c r="A104" s="3" t="s">
        <v>9</v>
      </c>
      <c r="B104" s="3" t="s">
        <v>61</v>
      </c>
      <c r="C104" s="65" t="s">
        <v>23</v>
      </c>
      <c r="D104" s="65"/>
      <c r="E104" s="3" t="s">
        <v>48</v>
      </c>
      <c r="F104" s="70" t="str">
        <f>IF(E$8="Mode Poursuite","(Mode Fuite)",IF(E$8="Mode Fuite","(Mode Poursuite)",""))</f>
        <v/>
      </c>
      <c r="G104" s="70"/>
      <c r="I104" s="18"/>
      <c r="J104" s="3" t="str">
        <f>IF(J48="Aucun Bonus de","•",CONCATENATE("• Bonus de Charisme pour le camp de ",C13," =&gt; +",M48," pour ",C13))</f>
        <v>• Bonus de Charisme pour le camp de Marius Valga =&gt; +2 pour Marius Valga</v>
      </c>
      <c r="R104" s="20"/>
      <c r="T104" s="3" t="str">
        <f>CONCATENATE("Troupes ",C104," : ",P$189," % de pertes",Q189,Q190,Q191,L$184)</f>
        <v>Troupes * Indiquez votre Seigneurie * : 82 % de pertes (Méga Ouch^^)</v>
      </c>
    </row>
    <row r="105" spans="1:29" x14ac:dyDescent="0.2">
      <c r="I105" s="18"/>
      <c r="J105" s="3" t="str">
        <f>IF(J49="Aucun Bonus de","•",CONCATENATE("• Bonus de Charisme pour le camp de ",C66," =&gt; +",M49," pour ",C66))</f>
        <v>•</v>
      </c>
      <c r="R105" s="20"/>
    </row>
    <row r="106" spans="1:29" x14ac:dyDescent="0.2">
      <c r="B106" s="66" t="s">
        <v>5</v>
      </c>
      <c r="C106" s="66"/>
      <c r="D106" s="66"/>
      <c r="E106" s="66"/>
      <c r="F106" s="66"/>
      <c r="G106" s="66"/>
      <c r="H106" s="66"/>
      <c r="I106" s="18"/>
      <c r="J106" s="3" t="str">
        <f>IF(L45=0,"•",CONCATENATE("• Bonus de Murs pour le camp de ",C66," =&gt; +",L45," pour ",C66))</f>
        <v>• Bonus de Murs pour le camp de Hasell =&gt; +2 pour Hasell</v>
      </c>
      <c r="R106" s="20"/>
      <c r="T106" s="56" t="str">
        <f>CONCATENATE(B106,L$180)</f>
        <v>Nom de l'armée</v>
      </c>
    </row>
    <row r="107" spans="1:29" x14ac:dyDescent="0.2">
      <c r="A107" s="3" t="str">
        <f>IF(C107="","","# ")</f>
        <v xml:space="preserve"># </v>
      </c>
      <c r="B107" s="55" t="s">
        <v>182</v>
      </c>
      <c r="C107" s="64" t="s">
        <v>21</v>
      </c>
      <c r="D107" s="64"/>
      <c r="E107" s="64"/>
      <c r="F107" s="64"/>
      <c r="G107" s="64"/>
      <c r="H107" s="64"/>
      <c r="I107" s="18"/>
      <c r="J107" s="3" t="str">
        <f>IF(J62="Malus de Moral de",CONCATENATE("• Malus de Moral contre le camp de ",C13," =&gt; ",L62," contre ",C13),"•")</f>
        <v>•</v>
      </c>
      <c r="R107" s="20"/>
      <c r="S107" s="3" t="str">
        <f>A107</f>
        <v xml:space="preserve"># </v>
      </c>
      <c r="T107" s="3" t="str">
        <f>B107</f>
        <v>* Rang PJ *</v>
      </c>
      <c r="U107" s="3" t="str">
        <f>C107</f>
        <v>Indiquez la présence de vos Seigneurs ici</v>
      </c>
    </row>
    <row r="108" spans="1:29" x14ac:dyDescent="0.2">
      <c r="A108" s="3" t="s">
        <v>6</v>
      </c>
      <c r="B108" s="12"/>
      <c r="C108" s="33" t="s">
        <v>10</v>
      </c>
      <c r="D108" s="3" t="s">
        <v>13</v>
      </c>
      <c r="E108" s="13">
        <f>5*B108</f>
        <v>0</v>
      </c>
      <c r="F108" s="3" t="s">
        <v>14</v>
      </c>
      <c r="I108" s="18"/>
      <c r="J108" s="3" t="str">
        <f>IF(J63="Malus de Moral de",CONCATENATE("• Malus de Moral contre le camp de ",C66," =&gt; ",L63," contre ",C66),"•")</f>
        <v>•</v>
      </c>
      <c r="R108" s="20"/>
      <c r="S108" s="3" t="s">
        <v>6</v>
      </c>
      <c r="T108" s="15">
        <f>B108</f>
        <v>0</v>
      </c>
      <c r="U108" s="31" t="s">
        <v>338</v>
      </c>
      <c r="V108" s="15">
        <f>ROUND(T108*(1-M$189/100),0)</f>
        <v>0</v>
      </c>
      <c r="W108" s="3" t="str">
        <f>C108</f>
        <v>Fantassins</v>
      </c>
      <c r="Y108" s="35" t="s">
        <v>340</v>
      </c>
      <c r="Z108" s="15">
        <f>V108*5</f>
        <v>0</v>
      </c>
      <c r="AA108" s="3" t="s">
        <v>14</v>
      </c>
    </row>
    <row r="109" spans="1:29" x14ac:dyDescent="0.2">
      <c r="A109" s="3" t="s">
        <v>6</v>
      </c>
      <c r="B109" s="12"/>
      <c r="C109" s="33" t="s">
        <v>11</v>
      </c>
      <c r="D109" s="3" t="s">
        <v>13</v>
      </c>
      <c r="E109" s="13">
        <f>10*B109</f>
        <v>0</v>
      </c>
      <c r="F109" s="3" t="s">
        <v>15</v>
      </c>
      <c r="G109" s="13">
        <f>IF(E$8="Mode Fuite",16*B109,IF(E$8="Mode Poursuite",10*B109,4*B109))</f>
        <v>0</v>
      </c>
      <c r="H109" s="3" t="str">
        <f>IF(E$8="Mode Poursuite","PU en Fuite)",IF(E$8="Mode Fuite","PU en Poursuite)","PU en Siège)"))</f>
        <v>PU en Siège)</v>
      </c>
      <c r="I109" s="18"/>
      <c r="J109" s="3" t="str">
        <f>CONCATENATE("• Modificateur stratégique : ",O67," pour ",C13,N152,", ",O68," pour ",C66,N153," =&gt; ",N154)</f>
        <v>• Modificateur stratégique : 1 pour Marius Valga, 1 pour Hasell =&gt; Égalité</v>
      </c>
      <c r="R109" s="20"/>
      <c r="S109" s="3" t="s">
        <v>6</v>
      </c>
      <c r="T109" s="15">
        <f t="shared" ref="T109:T110" si="7">B109</f>
        <v>0</v>
      </c>
      <c r="U109" s="31" t="s">
        <v>338</v>
      </c>
      <c r="V109" s="15">
        <f>ROUND(T109*(1-M$190/100),0)</f>
        <v>0</v>
      </c>
      <c r="W109" s="3" t="str">
        <f>C109</f>
        <v>Cavaliers</v>
      </c>
      <c r="Y109" s="35" t="s">
        <v>340</v>
      </c>
      <c r="Z109" s="15">
        <f>V109*10</f>
        <v>0</v>
      </c>
      <c r="AA109" s="3" t="s">
        <v>15</v>
      </c>
      <c r="AB109" s="15">
        <f>V109*4</f>
        <v>0</v>
      </c>
      <c r="AC109" s="3" t="s">
        <v>16</v>
      </c>
    </row>
    <row r="110" spans="1:29" x14ac:dyDescent="0.2">
      <c r="A110" s="3" t="s">
        <v>6</v>
      </c>
      <c r="B110" s="12"/>
      <c r="C110" s="33" t="s">
        <v>12</v>
      </c>
      <c r="D110" s="3" t="s">
        <v>13</v>
      </c>
      <c r="E110" s="13">
        <f>5*B110</f>
        <v>0</v>
      </c>
      <c r="F110" s="3" t="s">
        <v>15</v>
      </c>
      <c r="G110" s="13">
        <f>16*B110</f>
        <v>0</v>
      </c>
      <c r="H110" s="3" t="s">
        <v>16</v>
      </c>
      <c r="I110" s="19"/>
      <c r="J110" s="1" t="s">
        <v>7</v>
      </c>
      <c r="K110" s="3" t="str">
        <f>CONCATENATE(N155,M77)</f>
        <v>+19 pour Marius Valga</v>
      </c>
      <c r="R110" s="20"/>
      <c r="S110" s="3" t="s">
        <v>6</v>
      </c>
      <c r="T110" s="15">
        <f t="shared" si="7"/>
        <v>0</v>
      </c>
      <c r="U110" s="31" t="s">
        <v>338</v>
      </c>
      <c r="V110" s="15">
        <f>ROUND(T110*(1-M$191/100),0)</f>
        <v>0</v>
      </c>
      <c r="W110" s="3" t="str">
        <f>C110</f>
        <v>Unités de Siège</v>
      </c>
      <c r="Y110" s="35" t="s">
        <v>340</v>
      </c>
      <c r="Z110" s="15">
        <f>V110*5</f>
        <v>0</v>
      </c>
      <c r="AA110" s="3" t="s">
        <v>15</v>
      </c>
      <c r="AB110" s="15">
        <f>V110*16</f>
        <v>0</v>
      </c>
      <c r="AC110" s="3" t="s">
        <v>16</v>
      </c>
    </row>
    <row r="111" spans="1:29" x14ac:dyDescent="0.2">
      <c r="B111" s="67" t="s">
        <v>7</v>
      </c>
      <c r="C111" s="67"/>
      <c r="D111" s="1"/>
      <c r="E111" s="14">
        <f>IF(OR(C104="* Indiquez votre Seigneurie *",C104=""),0,IF(OR(E$8="",E$8="Mode Fuite"),E108+G109+E110,E108+E109+E110))</f>
        <v>0</v>
      </c>
      <c r="F111" s="1" t="s">
        <v>17</v>
      </c>
      <c r="G111" s="14">
        <f>IF(OR(C104="* Indiquez votre Seigneurie *",C104=""),0,E108+G109+G110)</f>
        <v>0</v>
      </c>
      <c r="H111" s="1" t="s">
        <v>16</v>
      </c>
      <c r="I111" s="18"/>
      <c r="R111" s="20"/>
      <c r="T111" s="1" t="s">
        <v>7</v>
      </c>
      <c r="U111" s="3" t="str">
        <f>CONCATENATE(P144," =&gt;")</f>
        <v>0 =&gt;</v>
      </c>
      <c r="W111" s="15">
        <f>IF(E111=0,0,Z108+Z109+Z110)</f>
        <v>0</v>
      </c>
      <c r="X111" s="3" t="s">
        <v>252</v>
      </c>
      <c r="AA111" s="57" t="str">
        <f>CONCATENATE("(",R144," =&gt; ")</f>
        <v xml:space="preserve">(0 =&gt; </v>
      </c>
      <c r="AB111" s="15">
        <f>IF(E111=0,0,Z108+AB109+AB110)</f>
        <v>0</v>
      </c>
      <c r="AC111" s="3" t="s">
        <v>16</v>
      </c>
    </row>
    <row r="112" spans="1:29" x14ac:dyDescent="0.2">
      <c r="I112" s="18"/>
      <c r="J112" s="1" t="s">
        <v>307</v>
      </c>
      <c r="R112" s="20"/>
    </row>
    <row r="113" spans="1:29" x14ac:dyDescent="0.2">
      <c r="C113" s="3" t="s">
        <v>8</v>
      </c>
      <c r="E113" s="7">
        <f>IF(E115=0,0,100*E111/E115)</f>
        <v>0</v>
      </c>
      <c r="F113" s="1" t="s">
        <v>22</v>
      </c>
      <c r="I113" s="18"/>
      <c r="R113" s="20"/>
    </row>
    <row r="114" spans="1:29" x14ac:dyDescent="0.2">
      <c r="I114" s="18"/>
      <c r="J114" s="3" t="str">
        <f>CONCATENATE(O80," pour ",C13,H157,", ",O81," pour ",C66,H158," =&gt; ",H160,H161)</f>
        <v>8 pour Marius Valga, 6 pour Hasell =&gt; +2 pour Marius Valga</v>
      </c>
      <c r="R114" s="20"/>
    </row>
    <row r="115" spans="1:29" x14ac:dyDescent="0.2">
      <c r="C115" s="3" t="s">
        <v>19</v>
      </c>
      <c r="E115" s="13">
        <f>E75+E87+E99+E111</f>
        <v>18025</v>
      </c>
      <c r="F115" s="3" t="s">
        <v>17</v>
      </c>
      <c r="G115" s="13">
        <f>G75+G87+G99+G111</f>
        <v>16712</v>
      </c>
      <c r="H115" s="3" t="s">
        <v>16</v>
      </c>
      <c r="I115" s="18"/>
      <c r="J115" s="3" t="str">
        <f>CONCATENATE("Différence finale : ",I159,N157)</f>
        <v>Différence finale : +21 pour Marius Valga (Méga Ouch^^)</v>
      </c>
      <c r="R115" s="20"/>
      <c r="S115" s="1"/>
      <c r="T115" s="1" t="s">
        <v>19</v>
      </c>
      <c r="U115" s="1"/>
      <c r="V115" s="1"/>
      <c r="W115" s="1" t="str">
        <f>CONCATENATE(P145," =&gt;"," ",M145)</f>
        <v>18 025 =&gt; 3 240</v>
      </c>
      <c r="X115" s="1" t="s">
        <v>252</v>
      </c>
      <c r="Y115" s="1"/>
      <c r="Z115" s="1"/>
      <c r="AA115" s="43" t="str">
        <f>CONCATENATE("(",R145," =&gt; ")</f>
        <v xml:space="preserve">(16 712 =&gt; </v>
      </c>
      <c r="AB115" s="76">
        <f>AB75+AB87+AB99+AB111</f>
        <v>3001</v>
      </c>
      <c r="AC115" s="1" t="s">
        <v>16</v>
      </c>
    </row>
    <row r="116" spans="1:29" x14ac:dyDescent="0.2">
      <c r="I116" s="18"/>
      <c r="R116" s="20"/>
    </row>
    <row r="117" spans="1:29" x14ac:dyDescent="0.2">
      <c r="I117" s="18"/>
      <c r="J117" s="54" t="str">
        <f>CONCATENATE("=&gt; ",L158)</f>
        <v>=&gt; Victoire totale : l'armée perdante est directement Démoralisée et la bataille s'achève.</v>
      </c>
      <c r="R117" s="20"/>
    </row>
    <row r="118" spans="1:29" x14ac:dyDescent="0.2">
      <c r="I118" s="18"/>
      <c r="J118" s="48" t="str">
        <f>CONCATENATE("=&gt; ",L159,L160,L161,L162,L163,L164,L165,L166,L167)</f>
        <v>=&gt; La ville : Piervallée subit 10 % de pénalité. (Total : 40 % de dégâts.)</v>
      </c>
      <c r="R118" s="20"/>
    </row>
    <row r="119" spans="1:29" x14ac:dyDescent="0.2">
      <c r="I119" s="18"/>
      <c r="J119" s="48" t="str">
        <f>CONCATENATE("=&gt; ",L201,L170,L171,L172)</f>
        <v xml:space="preserve">=&gt; </v>
      </c>
      <c r="R119" s="20"/>
    </row>
    <row r="120" spans="1:29" x14ac:dyDescent="0.2">
      <c r="I120" s="18"/>
      <c r="J120" s="48" t="str">
        <f>CONCATENATE("=&gt; ",L174,L175,L176)</f>
        <v xml:space="preserve">=&gt; </v>
      </c>
      <c r="R120" s="20"/>
    </row>
    <row r="121" spans="1:29" ht="15" thickBot="1" x14ac:dyDescent="0.25">
      <c r="I121" s="18"/>
      <c r="J121" s="48" t="str">
        <f>CONCATENATE("=&gt; ",L177,L178,L179)</f>
        <v>=&gt; L'Armée du camp de Hasell est Démoralisée et fuit le combat en hurlant !</v>
      </c>
      <c r="R121" s="20"/>
    </row>
    <row r="122" spans="1:29" x14ac:dyDescent="0.2">
      <c r="A122" s="51"/>
      <c r="B122" s="51"/>
      <c r="C122" s="51"/>
      <c r="D122" s="51"/>
      <c r="E122" s="51"/>
      <c r="F122" s="51"/>
      <c r="G122" s="51"/>
      <c r="H122" s="51"/>
      <c r="I122" s="51"/>
      <c r="J122" s="52" t="s">
        <v>329</v>
      </c>
      <c r="K122" s="51"/>
      <c r="L122" s="51"/>
      <c r="M122" s="51"/>
      <c r="N122" s="51"/>
      <c r="O122" s="51"/>
      <c r="P122" s="51"/>
      <c r="Q122" s="51"/>
      <c r="S122" s="51"/>
      <c r="T122" s="51"/>
      <c r="U122" s="51"/>
      <c r="V122" s="51"/>
      <c r="W122" s="51"/>
      <c r="X122" s="51"/>
      <c r="Y122" s="51"/>
      <c r="Z122" s="51"/>
    </row>
    <row r="123" spans="1:29" x14ac:dyDescent="0.2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29" x14ac:dyDescent="0.2">
      <c r="B124" s="3" t="s">
        <v>70</v>
      </c>
    </row>
    <row r="126" spans="1:29" x14ac:dyDescent="0.2">
      <c r="B126" s="1" t="s">
        <v>73</v>
      </c>
      <c r="D126" s="1" t="s">
        <v>210</v>
      </c>
      <c r="F126" s="1" t="s">
        <v>231</v>
      </c>
      <c r="G126" s="3" t="s">
        <v>248</v>
      </c>
    </row>
    <row r="127" spans="1:29" x14ac:dyDescent="0.2">
      <c r="G127" s="3" t="s">
        <v>72</v>
      </c>
      <c r="H127" s="3" t="s">
        <v>62</v>
      </c>
      <c r="I127" s="3" t="s">
        <v>63</v>
      </c>
      <c r="J127" s="3" t="s">
        <v>64</v>
      </c>
      <c r="K127" s="3" t="s">
        <v>65</v>
      </c>
      <c r="L127" s="3" t="s">
        <v>66</v>
      </c>
      <c r="M127" s="3" t="s">
        <v>67</v>
      </c>
      <c r="N127" s="3" t="s">
        <v>68</v>
      </c>
    </row>
    <row r="128" spans="1:29" x14ac:dyDescent="0.2">
      <c r="B128" s="1" t="s">
        <v>23</v>
      </c>
      <c r="C128" s="1" t="s">
        <v>322</v>
      </c>
      <c r="D128" s="28">
        <v>250</v>
      </c>
      <c r="E128" s="1" t="s">
        <v>348</v>
      </c>
      <c r="G128" s="15">
        <f>E62</f>
        <v>58380</v>
      </c>
      <c r="H128" s="35">
        <f>IF(OR(C15="d'Anvil",C15="de Bravil",C15="de Bruma",C15="de Cheydinhal",C15="de Chorrol",C15="de la Cité Impériale",C15="de Kvatch",C15="de Leyawiin",C15="de Skingrad"),E22,0)</f>
        <v>58380</v>
      </c>
      <c r="I128" s="3">
        <f>IF(OR(C15="d'Épervine",C15="de Faillaise"),E22,0)</f>
        <v>0</v>
      </c>
      <c r="J128" s="3">
        <f>IF(OR(C15="de Fort-de-Rive",C15="de Rimmen"),E22,0)</f>
        <v>0</v>
      </c>
      <c r="K128" s="3">
        <f>IF(OR(C15="d'Elinhir",C15="de Rihad"),E22,0)</f>
        <v>0</v>
      </c>
      <c r="L128" s="3">
        <f>IF(OR(C15="de Fort-Tempête",C15="de Gideon"),E22,0)</f>
        <v>0</v>
      </c>
      <c r="M128" s="3">
        <f>IF(OR(C15="de Kragenmoor",C15="de Narsis"),E22,0)</f>
        <v>0</v>
      </c>
      <c r="N128" s="3">
        <f>IF(OR(C15="d'Arenthia",C15="de Falinesti"),E22,0)</f>
        <v>0</v>
      </c>
    </row>
    <row r="129" spans="2:20" x14ac:dyDescent="0.2">
      <c r="B129" s="1"/>
      <c r="C129" s="21" t="s">
        <v>77</v>
      </c>
      <c r="D129" s="28">
        <v>245</v>
      </c>
      <c r="H129" s="35">
        <f>IF(OR(C27="d'Anvil",C27="de Bravil",C27="de Bruma",C27="de Cheydinhal",C27="de Chorrol",C27="de la Cité Impériale",C27="de Kvatch",C27="de Leyawiin",C27="de Skingrad"),E34,0)</f>
        <v>0</v>
      </c>
      <c r="I129" s="3">
        <f>IF(OR(C27="d'Épervine",C27="de Faillaise"),E34,0)</f>
        <v>0</v>
      </c>
      <c r="J129" s="3">
        <f>IF(OR(C27="de Fort-de-Rive",C27="de Rimmen"),E34,0)</f>
        <v>0</v>
      </c>
      <c r="K129" s="3">
        <f>IF(OR(C27="d'Elinhir",C27="de Rihad"),E34,0)</f>
        <v>0</v>
      </c>
      <c r="L129" s="3">
        <f>IF(OR(C27="de Fort-Tempête",C27="de Gideon"),E34,0)</f>
        <v>0</v>
      </c>
      <c r="M129" s="3">
        <f>IF(OR(C27="de Kragenmoor",C27="de Narsis"),E34,0)</f>
        <v>0</v>
      </c>
      <c r="N129" s="3">
        <f>IF(OR(C27="d'Arenthia",C27="de Falinesti"),E34,0)</f>
        <v>0</v>
      </c>
    </row>
    <row r="130" spans="2:20" x14ac:dyDescent="0.2">
      <c r="B130" s="3" t="s">
        <v>24</v>
      </c>
      <c r="C130" s="21" t="s">
        <v>78</v>
      </c>
      <c r="D130" s="28">
        <v>240</v>
      </c>
      <c r="E130" s="3" t="s">
        <v>343</v>
      </c>
      <c r="H130" s="35">
        <f>IF(OR(C39="d'Anvil",C39="de Bravil",C39="de Bruma",C39="de Cheydinhal",C39="de Chorrol",C39="de la Cité Impériale",C39="de Kvatch",C39="de Leyawiin",C39="de Skingrad"),E46,0)</f>
        <v>0</v>
      </c>
      <c r="I130" s="3">
        <f>IF(OR(C39="d'Épervine",C39="de Faillaise"),E46,0)</f>
        <v>0</v>
      </c>
      <c r="J130" s="3">
        <f>IF(OR(C39="de Fort-de-Rive",C39="de Rimmen"),E46,0)</f>
        <v>0</v>
      </c>
      <c r="K130" s="3">
        <f>IF(OR(C39="d'Elinhir",C39="de Rihad"),E46,0)</f>
        <v>0</v>
      </c>
      <c r="L130" s="3">
        <f>IF(OR(C39="de Fort-Tempête",C39="de Gideon"),E46,0)</f>
        <v>0</v>
      </c>
      <c r="M130" s="3">
        <f>IF(OR(C39="de Kragenmoor",C39="de Narsis"),E46,0)</f>
        <v>0</v>
      </c>
      <c r="N130" s="3">
        <f>IF(OR(C39="d'Arenthia",C39="de Falinesti"),E46,0)</f>
        <v>0</v>
      </c>
    </row>
    <row r="131" spans="2:20" x14ac:dyDescent="0.2">
      <c r="B131" s="3" t="s">
        <v>25</v>
      </c>
      <c r="D131" s="28">
        <v>235</v>
      </c>
      <c r="E131" s="3" t="s">
        <v>344</v>
      </c>
      <c r="H131" s="35">
        <f>IF(OR(C51="d'Anvil",C51="de Bravil",C51="de Bruma",C51="de Cheydinhal",C51="de Chorrol",C51="de la Cité Impériale",C51="de Kvatch",C51="de Leyawiin",C51="de Skingrad"),E58,0)</f>
        <v>0</v>
      </c>
      <c r="I131" s="3">
        <f>IF(OR(C51="d'Épervine",C51="de Faillaise"),E58,0)</f>
        <v>0</v>
      </c>
      <c r="J131" s="3">
        <f>IF(OR(C51="de Fort-de-Rive",C51="de Rimmen"),E58,0)</f>
        <v>0</v>
      </c>
      <c r="K131" s="3">
        <f>IF(OR(C51="d'Elinhir",C51="de Rihad"),E58,0)</f>
        <v>0</v>
      </c>
      <c r="L131" s="3">
        <f>IF(OR(C51="de Fort-Tempête",C51="de Gideon"),E58,0)</f>
        <v>0</v>
      </c>
      <c r="M131" s="3">
        <f>IF(OR(C51="de Kragenmoor",C51="de Narsis"),E58,0)</f>
        <v>0</v>
      </c>
      <c r="N131" s="3">
        <f>IF(OR(C51="d'Arenthia",C51="de Falinesti"),E58,0)</f>
        <v>0</v>
      </c>
    </row>
    <row r="132" spans="2:20" x14ac:dyDescent="0.2">
      <c r="B132" s="3" t="s">
        <v>26</v>
      </c>
      <c r="C132" s="1" t="s">
        <v>323</v>
      </c>
      <c r="D132" s="28">
        <v>230</v>
      </c>
      <c r="E132" s="3" t="s">
        <v>352</v>
      </c>
      <c r="G132" s="3" t="s">
        <v>71</v>
      </c>
      <c r="H132" s="35">
        <f>SUM(H128:H131)</f>
        <v>58380</v>
      </c>
      <c r="I132" s="3">
        <f t="shared" ref="I132:N132" si="8">SUM(I128:I131)</f>
        <v>0</v>
      </c>
      <c r="J132" s="3">
        <f t="shared" si="8"/>
        <v>0</v>
      </c>
      <c r="K132" s="3">
        <f t="shared" si="8"/>
        <v>0</v>
      </c>
      <c r="L132" s="3">
        <f t="shared" si="8"/>
        <v>0</v>
      </c>
      <c r="M132" s="3">
        <f t="shared" si="8"/>
        <v>0</v>
      </c>
      <c r="N132" s="3">
        <f t="shared" si="8"/>
        <v>0</v>
      </c>
    </row>
    <row r="133" spans="2:20" x14ac:dyDescent="0.2">
      <c r="B133" s="3" t="s">
        <v>27</v>
      </c>
      <c r="C133" s="3" t="s">
        <v>79</v>
      </c>
      <c r="D133" s="28">
        <v>225</v>
      </c>
      <c r="E133" s="3" t="s">
        <v>353</v>
      </c>
      <c r="H133" s="35"/>
    </row>
    <row r="134" spans="2:20" x14ac:dyDescent="0.2">
      <c r="B134" s="3" t="s">
        <v>28</v>
      </c>
      <c r="C134" s="3" t="s">
        <v>80</v>
      </c>
      <c r="D134" s="28">
        <v>220</v>
      </c>
      <c r="E134" s="3" t="s">
        <v>354</v>
      </c>
      <c r="G134" s="3" t="s">
        <v>72</v>
      </c>
      <c r="H134" s="35">
        <f>IF(OR(C68="d'Anvil",C68="de Bravil",C68="de Bruma",C68="de Cheydinhal",C68="de Chorrol",C68="de la Cité Impériale",C68="de Kvatch",C68="de Leyawiin",C68="de Skingrad"),E75,0)</f>
        <v>0</v>
      </c>
      <c r="I134" s="3">
        <f>IF(OR(C68="d'Épervine",C68="de Faillaise"),E75,0)</f>
        <v>0</v>
      </c>
      <c r="J134" s="3">
        <f>IF(OR(C68="de Fort-de-Rive",C68="de Rimmen"),E75,0)</f>
        <v>0</v>
      </c>
      <c r="K134" s="3">
        <f>IF(OR(C68="d'Elinhir",C68="de Rihad"),E75,0)</f>
        <v>18025</v>
      </c>
      <c r="L134" s="3">
        <f>IF(OR(C68="de Fort-Tempête",C68="de Gideon"),E75,0)</f>
        <v>0</v>
      </c>
      <c r="M134" s="3">
        <f>IF(OR(C68="de Kragenmoor",C68="de Narsis"),E75,0)</f>
        <v>0</v>
      </c>
      <c r="N134" s="3">
        <f>IF(OR(C68="d'Arenthia",C68="de Falinesti"),E75,0)</f>
        <v>0</v>
      </c>
    </row>
    <row r="135" spans="2:20" x14ac:dyDescent="0.2">
      <c r="B135" s="3" t="s">
        <v>29</v>
      </c>
      <c r="C135" s="3" t="s">
        <v>81</v>
      </c>
      <c r="D135" s="28">
        <v>215</v>
      </c>
      <c r="E135" s="3" t="s">
        <v>355</v>
      </c>
      <c r="G135" s="15">
        <f>E115</f>
        <v>18025</v>
      </c>
      <c r="H135" s="35">
        <f>IF(OR(C80="d'Anvil",C80="de Bravil",C80="de Bruma",C80="de Cheydinhal",C80="de Chorrol",C80="de la Cité Impériale",C80="de Kvatch",C80="de Leyawiin",C80="de Skingrad"),E87,0)</f>
        <v>0</v>
      </c>
      <c r="I135" s="3">
        <f>IF(OR(C80="d'Épervine",C80="de Faillaise"),E87,0)</f>
        <v>0</v>
      </c>
      <c r="J135" s="3">
        <f>IF(OR(C80="de Fort-de-Rive",C80="de Rimmen"),E87,0)</f>
        <v>0</v>
      </c>
      <c r="K135" s="3">
        <f>IF(OR(C80="d'Elinhir",C80="de Rihad"),E87,0)</f>
        <v>0</v>
      </c>
      <c r="L135" s="3">
        <f>IF(OR(C80="de Fort-Tempête",C80="de Gideon"),E87,0)</f>
        <v>0</v>
      </c>
      <c r="M135" s="3">
        <f>IF(OR(C80="de Kragenmoor",C80="de Narsis"),E87,0)</f>
        <v>0</v>
      </c>
      <c r="N135" s="3">
        <f>IF(OR(C80="d'Arenthia",C80="de Falinesti"),E87,0)</f>
        <v>0</v>
      </c>
    </row>
    <row r="136" spans="2:20" x14ac:dyDescent="0.2">
      <c r="B136" s="3" t="s">
        <v>30</v>
      </c>
      <c r="C136" s="3" t="s">
        <v>82</v>
      </c>
      <c r="D136" s="28">
        <v>210</v>
      </c>
      <c r="E136" s="3" t="s">
        <v>356</v>
      </c>
      <c r="H136" s="35">
        <f>IF(OR(C92="d'Anvil",C92="de Bravil",C92="de Bruma",C92="de Cheydinhal",C92="de Chorrol",C92="de la Cité Impériale",C92="de Kvatch",C92="de Leyawiin",C92="de Skingrad"),E99,0)</f>
        <v>0</v>
      </c>
      <c r="I136" s="3">
        <f>IF(OR(C92="d'Épervine",C92="de Faillaise"),E99,0)</f>
        <v>0</v>
      </c>
      <c r="J136" s="3">
        <f>IF(OR(C92="de Fort-de-Rive",C92="de Rimmen"),E99,0)</f>
        <v>0</v>
      </c>
      <c r="K136" s="3">
        <f>IF(OR(C92="d'Elinhir",C92="de Rihad"),E99,0)</f>
        <v>0</v>
      </c>
      <c r="L136" s="3">
        <f>IF(OR(C92="de Fort-Tempête",C92="de Gideon"),E99,0)</f>
        <v>0</v>
      </c>
      <c r="M136" s="3">
        <f>IF(OR(C92="de Kragenmoor",C92="de Narsis"),E99,0)</f>
        <v>0</v>
      </c>
      <c r="N136" s="3">
        <f>IF(OR(C92="d'Arenthia",C92="de Falinesti"),E99,0)</f>
        <v>0</v>
      </c>
    </row>
    <row r="137" spans="2:20" x14ac:dyDescent="0.2">
      <c r="B137" s="3" t="s">
        <v>31</v>
      </c>
      <c r="C137" s="3" t="s">
        <v>83</v>
      </c>
      <c r="D137" s="28">
        <v>205</v>
      </c>
      <c r="E137" s="3" t="s">
        <v>357</v>
      </c>
      <c r="H137" s="35">
        <f>IF(OR(C104="d'Anvil",C104="de Bravil",C104="de Bruma",C104="de Cheydinhal",C104="de Chorrol",C104="de la Cité Impériale",C104="de Kvatch",C104="de Leyawiin",C104="de Skingrad"),E111,0)</f>
        <v>0</v>
      </c>
      <c r="I137" s="3">
        <f>IF(OR(C104="d'Épervine",C104="de Faillaise"),E111,0)</f>
        <v>0</v>
      </c>
      <c r="J137" s="3">
        <f>IF(OR(C104="de Fort-de-Rive",C104="de Rimmen"),E111,0)</f>
        <v>0</v>
      </c>
      <c r="K137" s="3">
        <f>IF(OR(C104="d'Elinhir",C104="de Rihad"),E111,0)</f>
        <v>0</v>
      </c>
      <c r="L137" s="3">
        <f>IF(OR(C104="de Fort-Tempête",C104="de Gideon"),E111,0)</f>
        <v>0</v>
      </c>
      <c r="M137" s="3">
        <f>IF(OR(C104="de Kragenmoor",C104="de Narsis"),E111,0)</f>
        <v>0</v>
      </c>
      <c r="N137" s="3">
        <f>IF(OR(C104="d'Arenthia",C104="de Falinesti"),E111,0)</f>
        <v>0</v>
      </c>
    </row>
    <row r="138" spans="2:20" x14ac:dyDescent="0.2">
      <c r="B138" s="3" t="s">
        <v>32</v>
      </c>
      <c r="C138" s="3" t="s">
        <v>84</v>
      </c>
      <c r="D138" s="28">
        <v>200</v>
      </c>
      <c r="G138" s="3" t="s">
        <v>71</v>
      </c>
      <c r="H138" s="35">
        <f>SUM(H134:H137)</f>
        <v>0</v>
      </c>
      <c r="I138" s="3">
        <f t="shared" ref="I138:N138" si="9">SUM(I134:I137)</f>
        <v>0</v>
      </c>
      <c r="J138" s="3">
        <f t="shared" si="9"/>
        <v>0</v>
      </c>
      <c r="K138" s="3">
        <f t="shared" si="9"/>
        <v>18025</v>
      </c>
      <c r="L138" s="3">
        <f t="shared" si="9"/>
        <v>0</v>
      </c>
      <c r="M138" s="3">
        <f t="shared" si="9"/>
        <v>0</v>
      </c>
      <c r="N138" s="3">
        <f t="shared" si="9"/>
        <v>0</v>
      </c>
    </row>
    <row r="139" spans="2:20" x14ac:dyDescent="0.2">
      <c r="B139" s="3" t="s">
        <v>33</v>
      </c>
      <c r="C139" s="3" t="s">
        <v>85</v>
      </c>
      <c r="D139" s="29">
        <v>195</v>
      </c>
      <c r="E139" s="1" t="s">
        <v>359</v>
      </c>
      <c r="H139" s="35"/>
    </row>
    <row r="140" spans="2:20" x14ac:dyDescent="0.2">
      <c r="B140" s="3" t="s">
        <v>34</v>
      </c>
      <c r="C140" s="3" t="s">
        <v>86</v>
      </c>
      <c r="D140" s="29">
        <v>190</v>
      </c>
      <c r="E140" s="3" t="s">
        <v>343</v>
      </c>
      <c r="F140" s="43" t="s">
        <v>247</v>
      </c>
      <c r="G140" s="3" t="s">
        <v>238</v>
      </c>
      <c r="H140" s="43" t="s">
        <v>234</v>
      </c>
      <c r="I140" s="3" t="s">
        <v>232</v>
      </c>
      <c r="M140" s="1" t="s">
        <v>310</v>
      </c>
      <c r="N140" s="3" t="s">
        <v>339</v>
      </c>
    </row>
    <row r="141" spans="2:20" x14ac:dyDescent="0.2">
      <c r="B141" s="3" t="s">
        <v>35</v>
      </c>
      <c r="C141" s="3" t="s">
        <v>87</v>
      </c>
      <c r="D141" s="29">
        <v>185</v>
      </c>
      <c r="E141" s="3" t="s">
        <v>361</v>
      </c>
      <c r="F141" s="34" t="s">
        <v>243</v>
      </c>
      <c r="G141" s="3">
        <f>LARGE(G142:G145,1)</f>
        <v>2</v>
      </c>
      <c r="H141" s="35"/>
      <c r="J141" s="3" t="s">
        <v>243</v>
      </c>
      <c r="K141" s="3" t="s">
        <v>244</v>
      </c>
      <c r="N141" s="3" t="str">
        <f>TEXT(L21,"# ##0")</f>
        <v>98 196</v>
      </c>
      <c r="O141" s="3" t="str">
        <f>TEXT(E22,"# ##0")</f>
        <v>58 380</v>
      </c>
      <c r="P141" s="3" t="str">
        <f>TEXT(E75,"# ##0")</f>
        <v>18 025</v>
      </c>
      <c r="Q141" s="3" t="str">
        <f>TEXT(G22,"# ##0")</f>
        <v>98 196</v>
      </c>
      <c r="R141" s="75" t="str">
        <f>TEXT(G75,"# ##0")</f>
        <v>16 712</v>
      </c>
      <c r="S141" s="75"/>
      <c r="T141" s="75"/>
    </row>
    <row r="142" spans="2:20" x14ac:dyDescent="0.2">
      <c r="B142" s="3" t="s">
        <v>36</v>
      </c>
      <c r="C142" s="3" t="s">
        <v>88</v>
      </c>
      <c r="D142" s="29">
        <v>180</v>
      </c>
      <c r="E142" s="3" t="s">
        <v>360</v>
      </c>
      <c r="F142" s="3" t="s">
        <v>239</v>
      </c>
      <c r="G142" s="3">
        <f>IF(OR(B18="",B18="* Rang PJ *",E22=0),0,IF(B18="Vassal ",1,2))</f>
        <v>2</v>
      </c>
      <c r="H142" s="35"/>
      <c r="J142" s="3">
        <f>IF(OR(M6="Terrain neutre",M6="",M6="* Renseignez la province *"),0,IF(M6=H127,H132,IF(M6=I127,I132,IF(M6=J127,J132,IF(M6=K127,K132,IF(M6=L127,L132,IF(M6=M127,M132,IF(M6=N127,N132,"Erreur !"))))))))</f>
        <v>0</v>
      </c>
      <c r="K142" s="3">
        <f>IF(OR(M6="Terrain neutre",M6="",M6="* Renseignez la province *"),0,IF(M6=H127,H138,IF(M6=I127,I138,IF(M6=J127,J138,IF(M6=K127,K138,IF(M6=L127,L138,IF(M6=M127,M138,IF(M6=N127,N138,"Erreur !"))))))))</f>
        <v>18025</v>
      </c>
      <c r="M142" s="15">
        <f>W22+W34+W46+W58</f>
        <v>58380</v>
      </c>
      <c r="N142" s="3" t="str">
        <f>TEXT(N21,"# ##0")</f>
        <v>16 712</v>
      </c>
      <c r="O142" s="3" t="str">
        <f>TEXT(E34,"# ##0")</f>
        <v>0</v>
      </c>
      <c r="P142" s="3" t="str">
        <f>TEXT(E87,"# ##0")</f>
        <v>0</v>
      </c>
      <c r="Q142" s="3" t="str">
        <f>TEXT(G34,"# ##0")</f>
        <v>0</v>
      </c>
      <c r="R142" s="75" t="str">
        <f>TEXT(G87,"# ##0")</f>
        <v>0</v>
      </c>
      <c r="S142" s="75"/>
      <c r="T142" s="75"/>
    </row>
    <row r="143" spans="2:20" x14ac:dyDescent="0.2">
      <c r="B143" s="3" t="s">
        <v>37</v>
      </c>
      <c r="C143" s="3" t="s">
        <v>89</v>
      </c>
      <c r="D143" s="29">
        <v>175</v>
      </c>
      <c r="F143" s="3" t="s">
        <v>240</v>
      </c>
      <c r="G143" s="3">
        <f>IF(OR(B30="",B30="* Rang PJ *",E34=0),0,IF(B30="Vassal ",1,2))</f>
        <v>0</v>
      </c>
      <c r="H143" s="35"/>
      <c r="J143" s="3">
        <f>IF(OR(M8="",M8="* Renseignez la province *"),0,IF(M8=H127,H132,IF(M8=I127,I132,IF(M8=J127,J132,IF(M8=K127,K132,IF(M8=L127,L132,IF(M8=M127,M132,IF(M8=N127,N132,"Erreur !"))))))))</f>
        <v>0</v>
      </c>
      <c r="K143" s="3">
        <f>IF(OR(M8="",M8="* Renseignez la province *"),0,IF(M8=H127,H138,IF(M8=I127,I138,IF(M8=J127,J138,IF(M8=K127,K138,IF(M8=L127,L138,IF(M8=M127,M138,IF(M8=N127,N138,"Erreur !"))))))))</f>
        <v>0</v>
      </c>
      <c r="M143" s="15">
        <f>W75+W87+W99+W111</f>
        <v>3240</v>
      </c>
      <c r="N143" s="3" t="str">
        <f>TEXT(P21,"# ##0,00")</f>
        <v>5,88</v>
      </c>
      <c r="O143" s="3" t="str">
        <f>TEXT(E46,"# ##0")</f>
        <v>0</v>
      </c>
      <c r="P143" s="3" t="str">
        <f>TEXT(E99,"# ##0")</f>
        <v>0</v>
      </c>
      <c r="Q143" s="3" t="str">
        <f>TEXT(G46,"# ##0")</f>
        <v>0</v>
      </c>
      <c r="R143" s="75" t="str">
        <f>TEXT(G99,"# ##0")</f>
        <v>0</v>
      </c>
      <c r="S143" s="75"/>
      <c r="T143" s="75"/>
    </row>
    <row r="144" spans="2:20" x14ac:dyDescent="0.2">
      <c r="B144" s="3" t="s">
        <v>38</v>
      </c>
      <c r="C144" s="3" t="s">
        <v>90</v>
      </c>
      <c r="D144" s="29">
        <v>170</v>
      </c>
      <c r="F144" s="3" t="s">
        <v>241</v>
      </c>
      <c r="G144" s="3">
        <f>IF(OR(B42="",B42="* Rang PJ *",E46=0),0,IF(B42="Vassal ",1,2))</f>
        <v>0</v>
      </c>
      <c r="H144" s="35" t="s">
        <v>7</v>
      </c>
      <c r="J144" s="3">
        <f>J142+J143</f>
        <v>0</v>
      </c>
      <c r="K144" s="3">
        <f>K142+K143</f>
        <v>18025</v>
      </c>
      <c r="M144" s="15" t="str">
        <f>TEXT(M142,"# ##0")</f>
        <v>58 380</v>
      </c>
      <c r="O144" s="3" t="str">
        <f>TEXT(E58,"# ##0")</f>
        <v>0</v>
      </c>
      <c r="P144" s="3" t="str">
        <f>TEXT(E111,"# ##0")</f>
        <v>0</v>
      </c>
      <c r="Q144" s="3" t="str">
        <f>TEXT(G58,"# ##0")</f>
        <v>0</v>
      </c>
      <c r="R144" s="75" t="str">
        <f>TEXT(G111,"# ##0")</f>
        <v>0</v>
      </c>
      <c r="S144" s="75"/>
      <c r="T144" s="75"/>
    </row>
    <row r="145" spans="2:20" x14ac:dyDescent="0.2">
      <c r="B145" s="3" t="s">
        <v>39</v>
      </c>
      <c r="C145" s="3" t="s">
        <v>91</v>
      </c>
      <c r="D145" s="29">
        <v>165</v>
      </c>
      <c r="F145" s="3" t="s">
        <v>242</v>
      </c>
      <c r="G145" s="3">
        <f>IF(OR(B54="",B54="* Rang PJ *",E58=0),0,IF(B54="Vassal ",1,2))</f>
        <v>0</v>
      </c>
      <c r="H145" s="35" t="s">
        <v>249</v>
      </c>
      <c r="J145" s="3">
        <f>IF(G128=0,0,J144/G128)</f>
        <v>0</v>
      </c>
      <c r="K145" s="3">
        <f>IF(G135=0,0,K144/G135)</f>
        <v>1</v>
      </c>
      <c r="M145" s="3" t="str">
        <f>TEXT(M143,"# ##0")</f>
        <v>3 240</v>
      </c>
      <c r="O145" s="3" t="str">
        <f>TEXT(E62,"# ##0")</f>
        <v>58 380</v>
      </c>
      <c r="P145" s="3" t="str">
        <f>TEXT(E115,"# ##0")</f>
        <v>18 025</v>
      </c>
      <c r="Q145" s="3" t="str">
        <f t="shared" ref="Q145" si="10">TEXT(G62,"# ##0")</f>
        <v>98 196</v>
      </c>
      <c r="R145" s="75" t="str">
        <f>TEXT(G115,"# ##0")</f>
        <v>16 712</v>
      </c>
      <c r="S145" s="75"/>
      <c r="T145" s="75"/>
    </row>
    <row r="146" spans="2:20" x14ac:dyDescent="0.2">
      <c r="B146" s="3" t="s">
        <v>40</v>
      </c>
      <c r="C146" s="3" t="s">
        <v>92</v>
      </c>
      <c r="D146" s="29">
        <v>160</v>
      </c>
      <c r="F146" s="34" t="s">
        <v>244</v>
      </c>
      <c r="G146" s="3">
        <f>LARGE(G147:G150,1)</f>
        <v>0</v>
      </c>
      <c r="H146" s="35"/>
    </row>
    <row r="147" spans="2:20" x14ac:dyDescent="0.2">
      <c r="B147" s="3" t="s">
        <v>41</v>
      </c>
      <c r="C147" s="3" t="s">
        <v>93</v>
      </c>
      <c r="D147" s="29">
        <v>155</v>
      </c>
      <c r="F147" s="3" t="s">
        <v>239</v>
      </c>
      <c r="G147" s="3">
        <f>IF(OR(B71="",B71="* Rang PJ *",E75=0),0,IF(B71="Vassal ",1,2))</f>
        <v>0</v>
      </c>
      <c r="H147" s="43" t="s">
        <v>266</v>
      </c>
      <c r="I147" s="3" t="s">
        <v>267</v>
      </c>
      <c r="M147" s="1" t="s">
        <v>311</v>
      </c>
      <c r="N147" s="31" t="s">
        <v>315</v>
      </c>
    </row>
    <row r="148" spans="2:20" x14ac:dyDescent="0.2">
      <c r="B148" s="3" t="s">
        <v>42</v>
      </c>
      <c r="C148" s="3" t="s">
        <v>94</v>
      </c>
      <c r="D148" s="29">
        <v>150</v>
      </c>
      <c r="F148" s="3" t="s">
        <v>240</v>
      </c>
      <c r="G148" s="3">
        <f>IF(OR(B83="",B83="* Rang PJ *",E87=0),0,IF(B83="Vassal ",1,2))</f>
        <v>0</v>
      </c>
      <c r="H148" s="35"/>
      <c r="J148" s="3" t="s">
        <v>243</v>
      </c>
      <c r="K148" s="3" t="s">
        <v>244</v>
      </c>
      <c r="N148" s="3" t="str">
        <f>IF(O22="Égalité","","+")</f>
        <v>+</v>
      </c>
      <c r="O148" s="3" t="str">
        <f>IF(O22="Égalité",""," pour ")</f>
        <v xml:space="preserve"> pour </v>
      </c>
    </row>
    <row r="149" spans="2:20" x14ac:dyDescent="0.2">
      <c r="B149" s="3" t="s">
        <v>43</v>
      </c>
      <c r="C149" s="3" t="s">
        <v>95</v>
      </c>
      <c r="D149" s="29">
        <v>145</v>
      </c>
      <c r="F149" s="3" t="s">
        <v>241</v>
      </c>
      <c r="G149" s="3">
        <f>IF(OR(B95="",B95="* Rang PJ *",E99=0),0,IF(B95="Vassal ",1,2))</f>
        <v>0</v>
      </c>
      <c r="H149" s="35" t="s">
        <v>249</v>
      </c>
      <c r="J149" s="38">
        <f>IF(M22=C13,O22+1-1,0)</f>
        <v>10</v>
      </c>
      <c r="K149" s="38">
        <f>IF(M22=C66,O22+1-1,0)</f>
        <v>0</v>
      </c>
      <c r="N149" s="3" t="str">
        <f>IF(L29&gt;0,CONCATENATE("+",L29),L29)</f>
        <v>+8</v>
      </c>
    </row>
    <row r="150" spans="2:20" x14ac:dyDescent="0.2">
      <c r="B150" s="3" t="s">
        <v>44</v>
      </c>
      <c r="C150" s="3" t="s">
        <v>96</v>
      </c>
      <c r="D150" s="29">
        <v>140</v>
      </c>
      <c r="F150" s="3" t="s">
        <v>242</v>
      </c>
      <c r="G150" s="3">
        <f>IF(OR(B107="",B107="* Rang PJ *",E111=0),0,IF(B107="Vassal ",1,2))</f>
        <v>0</v>
      </c>
      <c r="H150" s="35" t="s">
        <v>268</v>
      </c>
      <c r="J150" s="3">
        <f>L29</f>
        <v>8</v>
      </c>
      <c r="K150" s="3">
        <f>L35</f>
        <v>-2</v>
      </c>
      <c r="N150" s="3">
        <f>IF(L35&gt;0,CONCATENATE("+",L35),L35)</f>
        <v>-2</v>
      </c>
    </row>
    <row r="151" spans="2:20" x14ac:dyDescent="0.2">
      <c r="B151" s="1"/>
      <c r="C151" s="3" t="s">
        <v>97</v>
      </c>
      <c r="D151" s="29">
        <v>135</v>
      </c>
      <c r="H151" s="35" t="s">
        <v>269</v>
      </c>
      <c r="K151" s="3">
        <f>L45</f>
        <v>2</v>
      </c>
      <c r="N151" s="3" t="str">
        <f>IF(L37="Égalité",L37,CONCATENATE("+",L37))</f>
        <v>+10</v>
      </c>
      <c r="O151" s="3" t="str">
        <f>IF(L37="Égalité",""," pour ")</f>
        <v xml:space="preserve"> pour </v>
      </c>
    </row>
    <row r="152" spans="2:20" x14ac:dyDescent="0.2">
      <c r="B152" s="1" t="s">
        <v>181</v>
      </c>
      <c r="D152" s="29">
        <v>130</v>
      </c>
      <c r="F152" s="3" t="s">
        <v>263</v>
      </c>
      <c r="H152" s="35" t="s">
        <v>270</v>
      </c>
      <c r="J152" s="3">
        <f>IF(M48="Charisme",0,M48)</f>
        <v>2</v>
      </c>
      <c r="K152" s="3">
        <f>IF(M49="Charisme",0,M49)</f>
        <v>0</v>
      </c>
      <c r="N152" s="3" t="str">
        <f>IF(AND(G155=1,O71=C13)," et réussite sur son D2",IF(AND(G155=0,ISODD(G153-G154),G153&gt;G154)," et échec sur son D2",""))</f>
        <v/>
      </c>
    </row>
    <row r="153" spans="2:20" x14ac:dyDescent="0.2">
      <c r="B153" s="3" t="s">
        <v>45</v>
      </c>
      <c r="C153" s="1" t="s">
        <v>324</v>
      </c>
      <c r="D153" s="29">
        <v>125</v>
      </c>
      <c r="F153" s="34" t="s">
        <v>243</v>
      </c>
      <c r="G153" s="3">
        <f>IF(OR(O67="* Définir Niveau *",O67=""),1,O67)</f>
        <v>1</v>
      </c>
      <c r="H153" s="35" t="s">
        <v>271</v>
      </c>
      <c r="J153" s="3">
        <f>IF(M56="Domicile",0,M56)</f>
        <v>0</v>
      </c>
      <c r="K153" s="3">
        <f>IF(M57="Domicile",0,M57)</f>
        <v>1</v>
      </c>
      <c r="N153" s="3" t="str">
        <f>IF(AND(G155=1,O71=C66)," et réussite sur son D2",IF(AND(G155=0,ISODD(G153-G154),G154&gt;G153)," et échec sur son D2",""))</f>
        <v/>
      </c>
    </row>
    <row r="154" spans="2:20" x14ac:dyDescent="0.2">
      <c r="B154" s="3" t="s">
        <v>46</v>
      </c>
      <c r="C154" s="22" t="s">
        <v>98</v>
      </c>
      <c r="D154" s="29">
        <v>120</v>
      </c>
      <c r="F154" s="34" t="s">
        <v>244</v>
      </c>
      <c r="G154" s="3">
        <f>IF(OR(O68="* Définir Niveau *",O68=""),1,O68)</f>
        <v>1</v>
      </c>
      <c r="H154" s="35" t="s">
        <v>272</v>
      </c>
      <c r="J154" s="3">
        <f>IF(L62="",0,L62)</f>
        <v>0</v>
      </c>
      <c r="K154" s="3">
        <f>IF(L63="",0,L63)</f>
        <v>0</v>
      </c>
      <c r="N154" s="3" t="str">
        <f>IF(M71="Égalité",M71,CONCATENATE("+",M71," pour ",O71))</f>
        <v>Égalité</v>
      </c>
    </row>
    <row r="155" spans="2:20" x14ac:dyDescent="0.2">
      <c r="B155" s="3" t="s">
        <v>47</v>
      </c>
      <c r="C155" s="22" t="s">
        <v>99</v>
      </c>
      <c r="D155" s="29">
        <v>115</v>
      </c>
      <c r="F155" s="3" t="s">
        <v>265</v>
      </c>
      <c r="G155" s="3">
        <f>IF(AND(M70="Oui",ISODD(G153-G154)),1,0)</f>
        <v>0</v>
      </c>
      <c r="H155" s="35" t="s">
        <v>273</v>
      </c>
      <c r="J155" s="3">
        <f>IF(O71=C13,M71,0)</f>
        <v>0</v>
      </c>
      <c r="K155" s="3">
        <f>IF(O71=C66,M71,0)</f>
        <v>0</v>
      </c>
      <c r="N155" s="3" t="str">
        <f>IF(K77="Égalité",K77,CONCATENATE("+",K77," pour "))</f>
        <v xml:space="preserve">+19 pour </v>
      </c>
    </row>
    <row r="156" spans="2:20" x14ac:dyDescent="0.2">
      <c r="C156" s="22" t="s">
        <v>100</v>
      </c>
      <c r="D156" s="29">
        <v>110</v>
      </c>
      <c r="H156" s="35"/>
      <c r="N156" s="3" t="str">
        <f>IF(K77="Égalité","",IF(K77&gt;12," (Méga Ouch^^)",IF(K77&gt;7," (Ouch^^)","")))</f>
        <v xml:space="preserve"> (Méga Ouch^^)</v>
      </c>
    </row>
    <row r="157" spans="2:20" x14ac:dyDescent="0.2">
      <c r="B157" s="1" t="s">
        <v>182</v>
      </c>
      <c r="C157" s="22" t="s">
        <v>101</v>
      </c>
      <c r="D157" s="29">
        <v>105</v>
      </c>
      <c r="F157" s="43" t="s">
        <v>279</v>
      </c>
      <c r="G157" s="3" t="s">
        <v>280</v>
      </c>
      <c r="H157" s="3" t="str">
        <f>IF(F160=2," (Lancé Imparfait^^)",IF(F160=3," (Lancé très foireux^^)",IF(F160=4," (Lancé foireux^^)",IF(F160=10," (Lancé chanceux^^)",IF(F160=11," (Lancé très chanceux^^)",IF(F160=12," (Lancé Parfait^^)",""))))))</f>
        <v/>
      </c>
      <c r="K157" s="1" t="s">
        <v>313</v>
      </c>
      <c r="L157" s="3" t="s">
        <v>314</v>
      </c>
      <c r="N157" s="3" t="str">
        <f>IF(L82="Égalité","",IF(L82&gt;12," (Méga Ouch^^)",IF(L82&gt;7," (Ouch^^)","")))</f>
        <v xml:space="preserve"> (Méga Ouch^^)</v>
      </c>
    </row>
    <row r="158" spans="2:20" x14ac:dyDescent="0.2">
      <c r="C158" s="22" t="s">
        <v>102</v>
      </c>
      <c r="D158" s="29">
        <v>100</v>
      </c>
      <c r="F158" s="3" t="s">
        <v>243</v>
      </c>
      <c r="G158" s="3" t="s">
        <v>244</v>
      </c>
      <c r="H158" s="3" t="str">
        <f>IF(G160=2," (Lancé Imparfait^^)",IF(G160=3," (Lancé très foireux^^)",IF(G160=4," (Lancé foireux^^)",IF(G160=10," (Lancé chanceux^^)",IF(G160=11," (Lancé très chanceux^^)",IF(G160=12," (Lancé Parfait^^)",""))))))</f>
        <v/>
      </c>
      <c r="K158" s="3" t="s">
        <v>316</v>
      </c>
      <c r="L158" s="3" t="str">
        <f>IF(OR(L82="Égalité",L82&lt;4),"Bataille non concluante : chaque adversaire reste sur ses positions.",IF(L82&lt;8,"Victoire marginale : l'armée du perdant est légèrement désorganisée et voit son moral entamé d'un niveau.",IF(L82&lt;13,"Victoire : l'armée du perdant est désorganisée et voit son moral entamé de deux niveaux.",IF(L82&gt;=13,"Victoire totale : l'armée perdante est directement Démoralisée et la bataille s'achève.","Erreur !"))))</f>
        <v>Victoire totale : l'armée perdante est directement Démoralisée et la bataille s'achève.</v>
      </c>
    </row>
    <row r="159" spans="2:20" x14ac:dyDescent="0.2">
      <c r="B159" s="3" t="s">
        <v>49</v>
      </c>
      <c r="C159" s="22" t="s">
        <v>103</v>
      </c>
      <c r="D159" s="37">
        <v>95</v>
      </c>
      <c r="E159" s="35" t="s">
        <v>281</v>
      </c>
      <c r="F159" s="3">
        <f>IF(M77=C13,K77,0)</f>
        <v>19</v>
      </c>
      <c r="G159" s="3">
        <f>IF(M77=C66,K77,0)</f>
        <v>0</v>
      </c>
      <c r="H159" s="3" t="s">
        <v>308</v>
      </c>
      <c r="I159" s="3" t="str">
        <f>IF(L82="Égalité","Égalité",CONCATENATE("+",ABS(L82)," pour ",N82))</f>
        <v>+21 pour Marius Valga</v>
      </c>
      <c r="K159" s="3" t="s">
        <v>318</v>
      </c>
      <c r="L159" s="3" t="str">
        <f>IF(M12=0,"",IF(M10="Avant-Poste","L'Avant-Poste subit ",IF(M10="Camp","Le Camp subit ",IF(AND(OR(M10="Bourg",M10="Ville mineure",M10="Ville majeure",M10="Capitale"),L82&gt;12,N82=C66),CONCATENATE("La ville : ",N16," ne subit "),IF(OR(M10="Bourg",M10="Ville mineure",M10="Ville majeure",M10="Capitale"),CONCATENATE("La ville : ",N16," subit "),"")))))</f>
        <v xml:space="preserve">La ville : Piervallée subit </v>
      </c>
    </row>
    <row r="160" spans="2:20" x14ac:dyDescent="0.2">
      <c r="B160" s="3" t="s">
        <v>50</v>
      </c>
      <c r="C160" s="22" t="s">
        <v>104</v>
      </c>
      <c r="D160" s="37">
        <v>90</v>
      </c>
      <c r="E160" s="35" t="s">
        <v>282</v>
      </c>
      <c r="F160" s="3">
        <f>IF(ISNUMBER(O80),O80,0)</f>
        <v>8</v>
      </c>
      <c r="G160" s="3">
        <f>IF(ISNUMBER(O81),O81,0)</f>
        <v>6</v>
      </c>
      <c r="H160" s="3" t="str">
        <f>IF(F160=G160,"Égalité",CONCATENATE("+",ABS(F160-G160)," pour "))</f>
        <v xml:space="preserve">+2 pour </v>
      </c>
      <c r="K160" s="3" t="s">
        <v>317</v>
      </c>
      <c r="L160" s="3" t="str">
        <f>IF(AND(L82&gt;12,N82=C66),"aucune",IF(M160=0,"",CONCATENATE(M160," % de")))</f>
        <v>10 % de</v>
      </c>
      <c r="M160" s="3">
        <f>IF(L159="",0,IF(AND(L82&gt;12,N82=C13),10,IF(AND(L82&gt;7,N82=C13),20,IF(AND(L82&gt;3,N82=C13),30,IF(OR(L82&lt;=3,L82="Égalité"),25,IF(AND(L82&gt;12,N82=C66),0,IF(AND(L82&gt;7,N82=C66),10,IF(AND(L82&gt;3,N82=C66),20,"0"))))))))</f>
        <v>10</v>
      </c>
    </row>
    <row r="161" spans="2:12" x14ac:dyDescent="0.2">
      <c r="B161" s="3" t="s">
        <v>56</v>
      </c>
      <c r="C161" s="22" t="s">
        <v>105</v>
      </c>
      <c r="D161" s="37">
        <v>85</v>
      </c>
      <c r="E161" s="35" t="s">
        <v>7</v>
      </c>
      <c r="F161" s="3">
        <f>F159+F160</f>
        <v>27</v>
      </c>
      <c r="G161" s="3">
        <f>G159+G160</f>
        <v>6</v>
      </c>
      <c r="H161" s="3" t="str">
        <f>IF(F160&gt;G160,C13,IF(F160&lt;G160,C66,""))</f>
        <v>Marius Valga</v>
      </c>
      <c r="K161" s="3" t="s">
        <v>327</v>
      </c>
      <c r="L161" s="3" t="str">
        <f>IF(L159="",""," pénalité")</f>
        <v xml:space="preserve"> pénalité</v>
      </c>
    </row>
    <row r="162" spans="2:12" x14ac:dyDescent="0.2">
      <c r="B162" s="3" t="s">
        <v>69</v>
      </c>
      <c r="C162" s="22" t="s">
        <v>106</v>
      </c>
      <c r="D162" s="37">
        <v>80</v>
      </c>
      <c r="L162" s="3" t="str">
        <f>IF(OR(M12-M160&lt;=0,L13="Info : Les forfitications étant inexistantes, les PV de murs seront ignorés."),"",". (Total : ")</f>
        <v xml:space="preserve">. (Total : </v>
      </c>
    </row>
    <row r="163" spans="2:12" x14ac:dyDescent="0.2">
      <c r="B163" s="3" t="s">
        <v>52</v>
      </c>
      <c r="C163" s="22" t="s">
        <v>107</v>
      </c>
      <c r="D163" s="37">
        <v>75</v>
      </c>
      <c r="F163" s="43" t="s">
        <v>296</v>
      </c>
      <c r="G163" s="3" t="s">
        <v>297</v>
      </c>
      <c r="H163" s="35" t="s">
        <v>300</v>
      </c>
      <c r="J163" s="3" t="str">
        <f>IF(OR(O90="",O91="",O90="Valeur Aucun dé",O91="Valeur Aucun dé",O90="Valeur 1D3 ?",O91="Valeur 1D3 ?",O90="Valeur 1D6 ?",O91="Valeur 1D6 ?",O90="Valeur 2D6 ?",O91="Valeur 2D6 ?",O90="Valeur 4D6 ?",O91="Valeur 4D6 ?",O90="Valeur 6D6 ?",O91="Valeur 6D6 ?",O90="Valeur 8D6 ?",O91="Valeur 8D6 ?",O90="Valeur 10D6 ?",O91="Valeur 10D6 ?",O90="Valeur 12D6 ?",O91="Valeur 12D6 ?"),"Test1Err","OK")</f>
        <v>OK</v>
      </c>
      <c r="K163" s="3" t="s">
        <v>328</v>
      </c>
      <c r="L163" s="3">
        <f>IF(M12-M160&lt;=0,"",IF(M12=0,"",IF(ISNUMBER(M12),IF(M10="Avant-Poste",80-M12+M160,IF(M10="Camp",150-M12+M160,IF(OR(M10="Bourg",M10="Ville mineure",M10="Ville majeure",M10="Capitale"),250-M12+M160,""))))))</f>
        <v>40</v>
      </c>
    </row>
    <row r="164" spans="2:12" x14ac:dyDescent="0.2">
      <c r="B164" s="3" t="s">
        <v>53</v>
      </c>
      <c r="C164" s="22" t="s">
        <v>108</v>
      </c>
      <c r="D164" s="37">
        <v>70</v>
      </c>
      <c r="H164" s="35" t="s">
        <v>303</v>
      </c>
      <c r="J164" s="3" t="str">
        <f>IF(OR(AND(F165="Lancé.0D",O90&lt;0),AND(F165="Lancé.1D3",O90&lt;1),AND(F165="Lancé.1D6",O90&lt;1),AND(F165="Lancé.2D6",O90&lt;2),AND(F165="Lancé.4D6",O90&lt;4),AND(F165="Lancé.6D6",O90&lt;6),AND(F165="Lancé.8D6",O90&lt;8),AND(F165="Lancé.10D6",O90&lt;10),AND(F165="Lancé.12D6",O90&lt;12)),"Test2Err","OK")</f>
        <v>OK</v>
      </c>
      <c r="L164" s="3" t="str">
        <f>IF(M12-M160&lt;=0,"",IF(L159="",""," % de dégâts.)"))</f>
        <v xml:space="preserve"> % de dégâts.)</v>
      </c>
    </row>
    <row r="165" spans="2:12" x14ac:dyDescent="0.2">
      <c r="B165" s="3" t="s">
        <v>57</v>
      </c>
      <c r="C165" s="22" t="s">
        <v>109</v>
      </c>
      <c r="D165" s="37">
        <v>65</v>
      </c>
      <c r="E165" s="35" t="s">
        <v>298</v>
      </c>
      <c r="F165" s="3" t="str">
        <f>IF(L88="Aucun dé","Lancé.0D",IF(L88="1 D3","Lancé.1D3",IF(L88="1 D6","Lancé.1D6",IF(L88="2 D6","Lancé.2D6",IF(L88="4 D6","Lancé.4D6",IF(L88="6 D6","Lancé.6D6",IF(L88="8 D6","Lancé.8D6",IF(L88="10 D6","Lancé.10D6",IF(L88="12 D6","Lancé.12D6","Erreur !")))))))))</f>
        <v>Lancé.0D</v>
      </c>
      <c r="H165" s="35" t="s">
        <v>304</v>
      </c>
      <c r="J165" s="3" t="str">
        <f>IF(OR(AND(F166="Lancé.0D",O91&lt;0),AND(F166="Lancé.1D3",O91&lt;1),AND(F166="Lancé.1D6",O91&lt;1),AND(F166="Lancé.2D6",O91&lt;2),AND(F166="Lancé.4D6",O91&lt;4),AND(F166="Lancé.6D6",O91&lt;6),AND(F166="Lancé.8D6",O91&lt;8),AND(F166="Lancé.10D6",O91&lt;10),AND(F166="Lancé.12D6",O91&lt;12)),"Test3Err","OK")</f>
        <v>OK</v>
      </c>
      <c r="L165" s="3" t="str">
        <f>IF(AND(OR(M10="Bourg",M10="Ville mineure",M10="Ville majeure",M10="Capitale"),M12=0),CONCATENATE("La ville : ",N16," est totalement en ruines ! Aucun bâtiment ne subsiste !"),"")</f>
        <v/>
      </c>
    </row>
    <row r="166" spans="2:12" x14ac:dyDescent="0.2">
      <c r="B166" s="3" t="s">
        <v>55</v>
      </c>
      <c r="C166" s="22" t="s">
        <v>110</v>
      </c>
      <c r="D166" s="37">
        <v>60</v>
      </c>
      <c r="E166" s="35" t="s">
        <v>299</v>
      </c>
      <c r="F166" s="3" t="str">
        <f>IF(L89="Aucun dé","Lancé.0D",IF(L89="1 D3","Lancé.1D3",IF(L89="1 D6","Lancé.1D6",IF(L89="2 D6","Lancé.2D6",IF(L89="4 D6","Lancé.4D6",IF(L89="6 D6","Lancé.6D6",IF(L89="8 D6","Lancé.8D6",IF(L89="10 D6","Lancé.10D6",IF(L89="12 D6","Lancé.12D6","Erreur !")))))))))</f>
        <v>Lancé.12D6</v>
      </c>
      <c r="L166" s="3" t="str">
        <f>IF(AND(M12-M160&lt;=0,NOT(M12=0),OR(M10="Bourg",M10="Ville mineure",M10="Ville majeure",M10="Capitale")),CONCATENATE(" et est désormais en ruines. Tous les bâtiments sont détruits !",""),"")</f>
        <v/>
      </c>
    </row>
    <row r="167" spans="2:12" x14ac:dyDescent="0.2">
      <c r="B167" s="3" t="s">
        <v>54</v>
      </c>
      <c r="C167" s="22" t="s">
        <v>111</v>
      </c>
      <c r="D167" s="37">
        <v>55</v>
      </c>
      <c r="F167" s="35" t="s">
        <v>301</v>
      </c>
      <c r="G167" s="3" t="str">
        <f>IF(OR(AND(F165="Lancé.0D",O90&gt;0),AND(F165="Lancé.1D3",O90&gt;3),AND(F165="Lancé.1D6",O90&gt;6),AND(F165="Lancé.2D6",O90&gt;12),AND(F165="Lancé.4D6",O90&gt;24),AND(F165="Lancé.6D6",O90&gt;36),AND(F165="Lancé.8D6",O90&gt;48),AND(F165="Lancé.10D6",O90&gt;60),AND(F165="Lancé.12D6",O90&gt;72)),"Test4Err","OK")</f>
        <v>Test4Err</v>
      </c>
      <c r="L167" s="3" t="str">
        <f>IF(AND(M12-M160&lt;=0,OR(M10="Avant-Poste",M10="Camp"))," et est désormais détruit ! Le round suivant sera donc en Plaine rase.","")</f>
        <v/>
      </c>
    </row>
    <row r="168" spans="2:12" x14ac:dyDescent="0.2">
      <c r="B168" s="3" t="s">
        <v>334</v>
      </c>
      <c r="C168" s="22" t="s">
        <v>112</v>
      </c>
      <c r="D168" s="37">
        <v>50</v>
      </c>
      <c r="F168" s="35" t="s">
        <v>302</v>
      </c>
      <c r="G168" s="3" t="str">
        <f>IF(OR(AND(F166="Lancé.0D",O91&gt;0),AND(F166="Lancé.1D3",O91&gt;3),AND(F166="Lancé.1D6",O91&gt;6),AND(F166="Lancé.2D6",O91&gt;12),AND(F166="Lancé.4D6",O91&gt;24),AND(F166="Lancé.6D6",O91&gt;36),AND(F166="Lancé.8D6",O91&gt;48),AND(F166="Lancé.10D6",O91&gt;60),AND(F166="Lancé.12D6",O91&gt;72)),"Test5Err","OK")</f>
        <v>OK</v>
      </c>
      <c r="H168" s="1" t="s">
        <v>288</v>
      </c>
      <c r="K168" s="1" t="s">
        <v>331</v>
      </c>
      <c r="L168" s="53"/>
    </row>
    <row r="169" spans="2:12" x14ac:dyDescent="0.2">
      <c r="B169" s="3" t="s">
        <v>58</v>
      </c>
      <c r="C169" s="22" t="s">
        <v>113</v>
      </c>
      <c r="D169" s="37">
        <v>45</v>
      </c>
      <c r="H169" s="3">
        <v>1</v>
      </c>
      <c r="K169" s="3" t="s">
        <v>330</v>
      </c>
      <c r="L169" s="53" t="str">
        <f>IF(AND(M14="Oui",L15="Conforme aux Règles du Wargame",M12-M160&lt;=0,M10="Capitale"),"Le Palais est détruit ! Le bonus de Murs tombe à +2 pour le round suivant.",IF(AND(M14="Oui",L15="Conforme aux Règles du Wargame",M12-M160&lt;=0,M10="Ville Majeure"),"Le Palais est détruit ! Le bonus de Murs tombe à +1 pour le round suivant.",""))</f>
        <v/>
      </c>
    </row>
    <row r="170" spans="2:12" x14ac:dyDescent="0.2">
      <c r="B170" s="3" t="s">
        <v>335</v>
      </c>
      <c r="C170" s="22" t="s">
        <v>114</v>
      </c>
      <c r="D170" s="37">
        <v>40</v>
      </c>
      <c r="H170" s="3">
        <v>2</v>
      </c>
      <c r="K170" s="3" t="str">
        <f>IF(AND(M14="Oui",L15="Conforme aux Règles du Wargame",M12-M160&lt;=0,M10="Capitale"),"Le Palais est détruit ! Le bonus de Murs tombe à +2 pour le round suivant.",IF(AND(M14="Oui",L15="Conforme aux Règles du Wargame",M12-M160&lt;=0,M10="Ville Majeure"),"Le Palais est détruit ! Le bonus de Murs tombe à +1 pour le round suivant.",""))</f>
        <v/>
      </c>
      <c r="L170" s="53" t="str">
        <f>IF(AND(M10="Camp",M12&gt;80,M12-M160&lt;=80),"Le Camp est endommagé et n'offira que +1 de Murs au round suivant !","")</f>
        <v/>
      </c>
    </row>
    <row r="171" spans="2:12" x14ac:dyDescent="0.2">
      <c r="B171" s="3" t="s">
        <v>51</v>
      </c>
      <c r="C171" s="22" t="s">
        <v>115</v>
      </c>
      <c r="D171" s="37">
        <v>35</v>
      </c>
      <c r="F171" s="1" t="s">
        <v>289</v>
      </c>
      <c r="H171" s="3">
        <v>3</v>
      </c>
      <c r="L171" s="53" t="str">
        <f>IF(AND(M10="Bourg",M12&gt;80,M12-M160&lt;=80),"Les fortifications du Bourg sont ravagées et n'offriront plus aucun bonus de Murs pour le round suivant !","")</f>
        <v/>
      </c>
    </row>
    <row r="172" spans="2:12" x14ac:dyDescent="0.2">
      <c r="B172" s="3" t="s">
        <v>183</v>
      </c>
      <c r="C172" s="22" t="s">
        <v>116</v>
      </c>
      <c r="D172" s="37">
        <v>30</v>
      </c>
      <c r="F172" s="3">
        <v>1</v>
      </c>
      <c r="H172" s="3">
        <v>4</v>
      </c>
      <c r="L172" s="3" t="str">
        <f>IF(AND(OR(M10="Bourg",M10="Ville mineure",M10="Ville majeure",M10="Capitale"),OR(AND(M12&gt;150,M12-M160&lt;=150),AND(M12&gt;80,M12-M160&lt;=80)),AND(L169="",L170="",L171="")),CONCATENATE("Les fortifications sont endommagées et le bonus de Murs tombe à +",L45-1," pour le round suivant."),"")</f>
        <v/>
      </c>
    </row>
    <row r="173" spans="2:12" x14ac:dyDescent="0.2">
      <c r="C173" s="22" t="s">
        <v>117</v>
      </c>
      <c r="D173" s="37">
        <v>25</v>
      </c>
      <c r="F173" s="3">
        <v>2</v>
      </c>
      <c r="H173" s="3">
        <v>5</v>
      </c>
      <c r="K173" s="1" t="s">
        <v>332</v>
      </c>
    </row>
    <row r="174" spans="2:12" x14ac:dyDescent="0.2">
      <c r="B174" s="3" t="s">
        <v>60</v>
      </c>
      <c r="C174" s="22" t="s">
        <v>118</v>
      </c>
      <c r="D174" s="37">
        <v>20</v>
      </c>
      <c r="F174" s="3">
        <v>3</v>
      </c>
      <c r="H174" s="3">
        <v>6</v>
      </c>
      <c r="L174" s="3" t="str">
        <f>IF(OR(AND(L82&gt;12,N82=C66),AND(O60="Faible",L82&gt;7,L82&lt;13,N82=C66),AND(O60="Très Faible",L82&gt;3,N82=C66)),"L'Armée du camp de ",IF(OR(AND(O60="Entamé",L82&gt;7,L82&lt;13,N82=C66),AND(O60="Faible",L82&gt;3,L82&lt;8,N82=C66)),"Les troupes du camp de ",IF(OR(AND(O60="OK",L82&gt;7,L82&lt;13,N82=C66),AND(O60="Entamé",L82&gt;3,L82&lt;8,N82=C66)),"Les troupes du camp de ",IF(AND(O60="OK",L82&gt;3,L82&lt;8,N82=C66),"Les troupes du camp de ",IF(AND(OR(O60="Entamé",O60="Faible",O60="Très Faible"),OR(L82&lt;=3,L82="Égalité",AND(L82&gt;3,N82=C13))),"L'issue de ce round a redonné courage aux troupes de ","")))))</f>
        <v/>
      </c>
    </row>
    <row r="175" spans="2:12" x14ac:dyDescent="0.2">
      <c r="C175" s="22" t="s">
        <v>119</v>
      </c>
      <c r="D175" s="37">
        <v>15</v>
      </c>
      <c r="L175" s="3" t="str">
        <f>IF(L174="","",C13)</f>
        <v/>
      </c>
    </row>
    <row r="176" spans="2:12" x14ac:dyDescent="0.2">
      <c r="B176" s="1" t="s">
        <v>189</v>
      </c>
      <c r="C176" s="22" t="s">
        <v>120</v>
      </c>
      <c r="D176" s="37">
        <v>10</v>
      </c>
      <c r="F176" s="1" t="s">
        <v>290</v>
      </c>
      <c r="H176" s="1" t="s">
        <v>295</v>
      </c>
      <c r="L176" s="3" t="str">
        <f>IF(OR(AND(L82&gt;12,N82=C66),AND(O60="Faible",L82&gt;7,L82&lt;13,N82=C66),AND(O60="Très Faible",L82&gt;3,N82=C66))," est Démoralisée et fuit le combat en hurlant !",IF(OR(AND(O60="Entamé",L82&gt;7,L82&lt;13,N82=C66),AND(O60="Faible",L82&gt;3,L82&lt;8,N82=C66))," ont désormais le Moral Très Faible ! La déroute n'est pas loin !",IF(OR(AND(O60="OK",L82&gt;7,L82&lt;13,N82=C66),AND(O60="Entamé",L82&gt;3,L82&lt;8,N82=C66))," ont désormais le Moral Faible !",IF(AND(O60="OK",L82&gt;3,L82&lt;8,N82=C66)," voient leur Moral Entamé par cette légère défaite.",IF(AND(OR(O60="Entamé",O60="Faible",O60="Très Faible"),OR(L82&lt;=3,L82="Égalité",AND(L82&gt;3,N82=C13))),", ce qui restaure leur Moral !","")))))</f>
        <v/>
      </c>
    </row>
    <row r="177" spans="2:17" x14ac:dyDescent="0.2">
      <c r="B177" s="3" t="s">
        <v>190</v>
      </c>
      <c r="C177" s="22" t="s">
        <v>121</v>
      </c>
      <c r="D177" s="3">
        <v>5</v>
      </c>
      <c r="F177" s="3">
        <v>4</v>
      </c>
      <c r="H177" s="3">
        <v>0</v>
      </c>
      <c r="L177" s="3" t="str">
        <f>IF(OR(AND(L82&gt;12,N82=C13),AND(O61="Faible",L82&gt;7,L82&lt;13,N82=C13),AND(O61="Très Faible",L82&gt;3,N82=C13)),"L'Armée du camp de ",IF(OR(AND(O61="Entamé",L82&gt;7,L82&lt;13,N82=C13),AND(O61="Faible",L82&gt;3,L82&lt;8,N82=C13)),"Les troupes du camp de ",IF(OR(AND(O61="OK",L82&gt;7,L82&lt;13,N82=C13),AND(O61="Entamé",L82&gt;3,L82&lt;8,N82=C13)),"Les troupes du camp de ",IF(AND(O61="OK",L82&gt;3,L82&lt;8,N82=C13),"Les troupes du camp de ",IF(AND(OR(O61="Entamé",O61="Faible",O61="Très Faible"),OR(L82&lt;=3,L82="Égalité",AND(L82&gt;3,N82=C66))),"L'issue de ce round a redonné courage aux troupes de ","")))))</f>
        <v xml:space="preserve">L'Armée du camp de </v>
      </c>
    </row>
    <row r="178" spans="2:17" x14ac:dyDescent="0.2">
      <c r="B178" s="3" t="s">
        <v>63</v>
      </c>
      <c r="C178" s="22" t="s">
        <v>122</v>
      </c>
      <c r="D178" s="3">
        <v>0</v>
      </c>
      <c r="F178" s="3">
        <v>5</v>
      </c>
      <c r="L178" s="3" t="str">
        <f>IF(L177="","",C66)</f>
        <v>Hasell</v>
      </c>
    </row>
    <row r="179" spans="2:17" x14ac:dyDescent="0.2">
      <c r="B179" s="3" t="s">
        <v>62</v>
      </c>
      <c r="C179" s="22" t="s">
        <v>123</v>
      </c>
      <c r="F179" s="3">
        <v>6</v>
      </c>
      <c r="H179" s="43" t="s">
        <v>294</v>
      </c>
      <c r="L179" s="3" t="str">
        <f>IF(OR(AND(L82&gt;12,N82=C13),AND(O61="Faible",L82&gt;7,L82&lt;13,N82=C13),AND(O61="Très Faible",L82&gt;3,N82=C13))," est Démoralisée et fuit le combat en hurlant !",IF(OR(AND(O61="Entamé",L82&gt;7,L82&lt;13,N82=C13),AND(O61="Faible",L82&gt;3,L82&lt;8,N82=C13))," ont désormais le Moral Très Faible ! La déroute n'est pas loin !",IF(OR(AND(O61="OK",L82&gt;7,L82&lt;13,N82=C13),AND(O61="Entamé",L82&gt;3,L82&lt;8,N82=C13))," ont désormais le Moral Faible !",IF(AND(O61="OK",L82&gt;3,L82&lt;8,N82=C13)," voient leur Moral Entamé par cette légère défaite.",IF(AND(OR(O61="Entamé",O61="Faible",O61="Très Faible"),OR(L82&lt;=3,L82="Égalité",AND(L82&gt;3,N82=C66))),", ce qui restaure leur Moral !","")))))</f>
        <v xml:space="preserve"> est Démoralisée et fuit le combat en hurlant !</v>
      </c>
    </row>
    <row r="180" spans="2:17" x14ac:dyDescent="0.2">
      <c r="B180" s="3" t="s">
        <v>64</v>
      </c>
      <c r="C180" s="22" t="s">
        <v>124</v>
      </c>
      <c r="D180" s="1" t="s">
        <v>225</v>
      </c>
      <c r="F180" s="3">
        <v>7</v>
      </c>
      <c r="H180" s="3">
        <v>12</v>
      </c>
      <c r="L180" s="3" t="str">
        <f>IF(L176=" est Démoralisée et fuit le combat en hurlant !"," (Démoralisé)",IF(L176=" ont désormais le Moral Très Faible ! La déroute n'est pas loin !"," (Moral Très Faible)",IF(L176=" ont désormais le Moral Faible !"," (Moral Faible)",IF(L176=" voient leur Moral Entamé par cette légère défaite."," (Moral Entamé)",""))))</f>
        <v/>
      </c>
    </row>
    <row r="181" spans="2:17" x14ac:dyDescent="0.2">
      <c r="B181" s="3" t="s">
        <v>65</v>
      </c>
      <c r="C181" s="22" t="s">
        <v>125</v>
      </c>
      <c r="F181" s="3">
        <v>8</v>
      </c>
      <c r="H181" s="3">
        <v>13</v>
      </c>
      <c r="L181" s="3" t="str">
        <f>IF(L179=" est Démoralisée et fuit le combat en hurlant !"," (Démoralisé)",IF(L179=" ont désormais le Moral Très Faible ! La déroute n'est pas loin !"," (Moral Très Faible)",IF(L179=" ont désormais le Moral Faible !"," (Moral Faible)",IF(L179=" voient leur Moral Entamé par cette légère défaite."," (Moral Entamé)",""))))</f>
        <v xml:space="preserve"> (Démoralisé)</v>
      </c>
    </row>
    <row r="182" spans="2:17" x14ac:dyDescent="0.2">
      <c r="B182" s="3" t="s">
        <v>66</v>
      </c>
      <c r="C182" s="22" t="s">
        <v>126</v>
      </c>
      <c r="D182" s="31">
        <v>0</v>
      </c>
      <c r="F182" s="3">
        <v>9</v>
      </c>
      <c r="H182" s="3">
        <v>14</v>
      </c>
      <c r="J182" s="1" t="s">
        <v>351</v>
      </c>
      <c r="L182" s="1" t="s">
        <v>337</v>
      </c>
    </row>
    <row r="183" spans="2:17" x14ac:dyDescent="0.2">
      <c r="B183" s="3" t="s">
        <v>67</v>
      </c>
      <c r="C183" s="22" t="s">
        <v>127</v>
      </c>
      <c r="D183" s="31">
        <v>1</v>
      </c>
      <c r="F183" s="3">
        <v>10</v>
      </c>
      <c r="H183" s="3">
        <v>15</v>
      </c>
      <c r="J183" s="3">
        <f>IF(AND(ISNUMBER(X5),NOT(X5="")),X5,O94)</f>
        <v>0</v>
      </c>
      <c r="K183" s="3">
        <f>IF(AND(ISNUMBER(X6),NOT(X6="")),X6,O95)</f>
        <v>82</v>
      </c>
      <c r="L183" s="3" t="str">
        <f>IF(L186&gt;69," (Méga Ouch^^)",IF(L186&gt;39," (Ouch^^)",""))</f>
        <v/>
      </c>
    </row>
    <row r="184" spans="2:17" x14ac:dyDescent="0.2">
      <c r="B184" s="3" t="s">
        <v>68</v>
      </c>
      <c r="C184" s="22" t="s">
        <v>128</v>
      </c>
      <c r="D184" s="31">
        <v>2</v>
      </c>
      <c r="F184" s="3">
        <v>11</v>
      </c>
      <c r="H184" s="3">
        <v>16</v>
      </c>
      <c r="L184" s="3" t="str">
        <f>IF(L189&gt;69," (Méga Ouch^^)",IF(L189&gt;39," (Ouch^^)",""))</f>
        <v xml:space="preserve"> (Méga Ouch^^)</v>
      </c>
    </row>
    <row r="185" spans="2:17" x14ac:dyDescent="0.2">
      <c r="C185" s="22" t="s">
        <v>129</v>
      </c>
      <c r="D185" s="31">
        <v>3</v>
      </c>
      <c r="F185" s="3">
        <v>12</v>
      </c>
      <c r="H185" s="3">
        <v>17</v>
      </c>
      <c r="M185" s="3" t="s">
        <v>373</v>
      </c>
      <c r="N185" s="3" t="s">
        <v>376</v>
      </c>
      <c r="O185" s="3" t="s">
        <v>375</v>
      </c>
      <c r="P185" s="3" t="s">
        <v>374</v>
      </c>
    </row>
    <row r="186" spans="2:17" x14ac:dyDescent="0.2">
      <c r="B186" s="1" t="s">
        <v>189</v>
      </c>
      <c r="C186" s="22" t="s">
        <v>130</v>
      </c>
      <c r="D186" s="31">
        <v>4</v>
      </c>
      <c r="F186" s="3">
        <v>13</v>
      </c>
      <c r="H186" s="3">
        <v>18</v>
      </c>
      <c r="J186" s="3" t="s">
        <v>368</v>
      </c>
      <c r="L186" s="3">
        <f>IF(OR(W9="",W9="Normal"),J183,IF(W9="Retraite - Cas #1 ou poursuivants",0,IF(OR(W9="Retraite - Cas #2 sur terre ferme",W9="Retraite - Cas #2 sur mer"),J183*0.8,IF(OR(W9="Retraite - Cas #3 sur terre ferme",W9="Retraite - Cas #3 sur mer"),J183*0.5,IF(OR(W9="Retraite - Cas #4 sur terre ferme",W9="Retraite - Cas #4 sur mer"),J183*0.2,"Erreur !")))))</f>
        <v>0</v>
      </c>
      <c r="M186" s="63">
        <f>IF(L186&gt;100,100,L186)</f>
        <v>0</v>
      </c>
      <c r="N186" s="38">
        <f>ROUNDDOWN(M186,0)</f>
        <v>0</v>
      </c>
      <c r="O186" s="38">
        <f>ROUNDUP(M186,0)</f>
        <v>0</v>
      </c>
      <c r="P186" s="3" t="str">
        <f>IF(N186=O186,TEXT(M186,"# ##0"),TEXT(M186,"# ##0,0"))</f>
        <v>0</v>
      </c>
      <c r="Q186" s="3" t="str">
        <f>IF(NOT(P186=P187)," (","")</f>
        <v/>
      </c>
    </row>
    <row r="187" spans="2:17" x14ac:dyDescent="0.2">
      <c r="C187" s="22" t="s">
        <v>131</v>
      </c>
      <c r="D187" s="3" t="s">
        <v>226</v>
      </c>
      <c r="F187" s="3">
        <v>14</v>
      </c>
      <c r="H187" s="3">
        <v>19</v>
      </c>
      <c r="J187" s="3" t="s">
        <v>369</v>
      </c>
      <c r="L187" s="3">
        <f>IF(OR(W9="",W9="Normal"),J183,IF(W9="Retraite - Cas #1 ou poursuivants",0,IF(W9="Retraite - Cas #2 sur terre ferme",J183*0.4,IF(W9="Retraite - Cas #2 sur mer",J183*0.8,IF(W9="Retraite - Cas #3 sur terre ferme",J183*0.25,IF(W9="Retraite - Cas #3 sur mer",J183*0.5,IF(W9="Retraite - Cas #4 sur terre ferme",J183*0.1,IF(W9="Retraite - Cas #4 sur mer",J183*0.2,"Erreur !"))))))))</f>
        <v>0</v>
      </c>
      <c r="M187" s="63">
        <f t="shared" ref="M187:M191" si="11">IF(L187&gt;100,100,L187)</f>
        <v>0</v>
      </c>
      <c r="N187" s="38">
        <f>ROUNDDOWN(M187,0)</f>
        <v>0</v>
      </c>
      <c r="O187" s="38">
        <f>ROUNDUP(M187,0)</f>
        <v>0</v>
      </c>
      <c r="P187" s="3" t="str">
        <f>IF(N187=O187,TEXT(M187,"# ##0"),IF(AND(ISODD(J183),W9="Retraite - Cas #3 sur terre ferme"),TEXT(M187,"# ##0,00"),TEXT(M187,"# ##0,0")))</f>
        <v>0</v>
      </c>
      <c r="Q187" s="3" t="str">
        <f>IF(NOT(P186=P187),CONCATENATE(P187," % pour les Cavaliers, "),"")</f>
        <v/>
      </c>
    </row>
    <row r="188" spans="2:17" x14ac:dyDescent="0.2">
      <c r="B188" s="3" t="s">
        <v>63</v>
      </c>
      <c r="C188" s="22" t="s">
        <v>132</v>
      </c>
      <c r="F188" s="3">
        <v>15</v>
      </c>
      <c r="H188" s="3">
        <v>20</v>
      </c>
      <c r="J188" s="3" t="s">
        <v>370</v>
      </c>
      <c r="L188" s="3">
        <f>IF(OR(W9="",W9="Normal"),J183,IF(W9="Retraite - Cas #1 ou poursuivants",0,IF(W9="Retraite - Cas #2 sur terre ferme",J183*1.2,IF(W9="Retraite - Cas #2 sur mer",J183*0.8,IF(W9="Retraite - Cas #3 sur terre ferme",J183*0.75,IF(W9="Retraite - Cas #3 sur mer",J183*0.5,IF(W9="Retraite - Cas #4 sur terre ferme",J183*0.3,IF(W9="Retraite - Cas #4 sur mer",J183*0.2,"Erreur !"))))))))</f>
        <v>0</v>
      </c>
      <c r="M188" s="63">
        <f t="shared" si="11"/>
        <v>0</v>
      </c>
      <c r="N188" s="38">
        <f>ROUNDDOWN(M188,0)</f>
        <v>0</v>
      </c>
      <c r="O188" s="38">
        <f>ROUNDUP(M188,0)</f>
        <v>0</v>
      </c>
      <c r="P188" s="3" t="str">
        <f>IF(N188=O188,TEXT(M188,"# ##0"),IF(AND(ISODD(J183),W9="Retraite - Cas #3 sur terre ferme"),TEXT(M188,"# ##0,00"),TEXT(M188,"# ##0,0")))</f>
        <v>0</v>
      </c>
      <c r="Q188" s="3" t="str">
        <f>IF(NOT(P186=P187),CONCATENATE(P188," % pour les Unités de Siège)"),"")</f>
        <v/>
      </c>
    </row>
    <row r="189" spans="2:17" x14ac:dyDescent="0.2">
      <c r="B189" s="3" t="s">
        <v>62</v>
      </c>
      <c r="C189" s="22" t="s">
        <v>133</v>
      </c>
      <c r="D189" s="1" t="s">
        <v>222</v>
      </c>
      <c r="F189" s="3">
        <v>16</v>
      </c>
      <c r="G189" s="43" t="s">
        <v>293</v>
      </c>
      <c r="H189" s="3">
        <v>21</v>
      </c>
      <c r="J189" s="3" t="s">
        <v>371</v>
      </c>
      <c r="L189" s="3">
        <f>IF(OR(W10="",W10="Normal"),K183,IF(W10="Retraite - Cas #1 ou poursuivants",0,IF(OR(W10="Retraite - Cas #2 sur terre ferme",W10="Retraite - Cas #2 sur mer"),K183*0.8,IF(OR(W10="Retraite - Cas #3 sur terre ferme",W10="Retraite - Cas #3 sur mer"),K183*0.5,IF(OR(W10="Retraite - Cas #4 sur terre ferme",W10="Retraite - Cas #4 sur mer"),K183*0.2,"Erreur !")))))</f>
        <v>82</v>
      </c>
      <c r="M189" s="63">
        <f t="shared" si="11"/>
        <v>82</v>
      </c>
      <c r="N189" s="38">
        <f>ROUNDDOWN(M189,0)</f>
        <v>82</v>
      </c>
      <c r="O189" s="38">
        <f>ROUNDUP(M189,0)</f>
        <v>82</v>
      </c>
      <c r="P189" s="3" t="str">
        <f>IF(N189=O189,TEXT(M189,"# ##0"),TEXT(M189,"# ##0,0"))</f>
        <v>82</v>
      </c>
      <c r="Q189" s="3" t="str">
        <f>IF(NOT(P189=P190)," (","")</f>
        <v/>
      </c>
    </row>
    <row r="190" spans="2:17" x14ac:dyDescent="0.2">
      <c r="B190" s="3" t="s">
        <v>64</v>
      </c>
      <c r="C190" s="22" t="s">
        <v>134</v>
      </c>
      <c r="F190" s="3">
        <v>17</v>
      </c>
      <c r="G190" s="3">
        <v>10</v>
      </c>
      <c r="H190" s="3">
        <v>22</v>
      </c>
      <c r="J190" s="3" t="s">
        <v>369</v>
      </c>
      <c r="L190" s="3">
        <f>IF(OR(W10="",W10="Normal"),K183,IF(W10="Retraite - Cas #1 ou poursuivants",0,IF(W10="Retraite - Cas #2 sur terre ferme",K183*0.4,IF(W10="Retraite - Cas #2 sur mer",K183*0.8,IF(W10="Retraite - Cas #3 sur terre ferme",K183*0.25,IF(W10="Retraite - Cas #3 sur mer",K183*0.5,IF(W10="Retraite - Cas #4 sur terre ferme",K183*0.1,IF(W10="Retraite - Cas #4 sur mer",K183*0.2,"Erreur !"))))))))</f>
        <v>82</v>
      </c>
      <c r="M190" s="63">
        <f t="shared" si="11"/>
        <v>82</v>
      </c>
      <c r="N190" s="38">
        <f>ROUNDDOWN(M190,0)</f>
        <v>82</v>
      </c>
      <c r="O190" s="38">
        <f>ROUNDUP(M190,0)</f>
        <v>82</v>
      </c>
      <c r="P190" s="3" t="str">
        <f>IF(N190=O190,TEXT(M190,"# ##0"),IF(AND(ISODD(K183),W10="Retraite - Cas #3 sur terre ferme"),TEXT(M190,"# ##0,00"),TEXT(M190,"# ##0,0")))</f>
        <v>82</v>
      </c>
      <c r="Q190" s="3" t="str">
        <f>IF(NOT(P189=P190),CONCATENATE(P190," % pour les Cavaliers, "),"")</f>
        <v/>
      </c>
    </row>
    <row r="191" spans="2:17" x14ac:dyDescent="0.2">
      <c r="B191" s="3" t="s">
        <v>65</v>
      </c>
      <c r="C191" s="22" t="s">
        <v>326</v>
      </c>
      <c r="D191" s="30">
        <v>0</v>
      </c>
      <c r="F191" s="3">
        <v>18</v>
      </c>
      <c r="G191" s="3">
        <v>11</v>
      </c>
      <c r="H191" s="3">
        <v>23</v>
      </c>
      <c r="J191" s="3" t="s">
        <v>372</v>
      </c>
      <c r="L191" s="3">
        <f>IF(OR(W10="",W10="Normal"),K183,IF(W10="Retraite - Cas #1 ou poursuivants",0,IF(W10="Retraite - Cas #2 sur terre ferme",K183*1.2,IF(W10="Retraite - Cas #2 sur mer",K183*0.8,IF(W10="Retraite - Cas #3 sur terre ferme",K183*0.75,IF(W10="Retraite - Cas #3 sur mer",K183*0.5,IF(W10="Retraite - Cas #4 sur terre ferme",K183*0.3,IF(W10="Retraite - Cas #4 sur mer",K183*0.2,"Erreur !"))))))))</f>
        <v>82</v>
      </c>
      <c r="M191" s="63">
        <f t="shared" si="11"/>
        <v>82</v>
      </c>
      <c r="N191" s="38">
        <f>ROUNDDOWN(M191,0)</f>
        <v>82</v>
      </c>
      <c r="O191" s="38">
        <f>ROUNDUP(M191,0)</f>
        <v>82</v>
      </c>
      <c r="P191" s="3" t="str">
        <f>IF(N191=O191,TEXT(M191,"# ##0"),IF(AND(ISODD(K183),W10="Retraite - Cas #3 sur terre ferme"),TEXT(M191,"# ##0,00"),TEXT(M191,"# ##0,0")))</f>
        <v>82</v>
      </c>
      <c r="Q191" s="3" t="str">
        <f>IF(NOT(P189=P190),CONCATENATE(P191," % pour les Unités de Siège)"),"")</f>
        <v/>
      </c>
    </row>
    <row r="192" spans="2:17" x14ac:dyDescent="0.2">
      <c r="B192" s="3" t="s">
        <v>66</v>
      </c>
      <c r="C192" s="22" t="s">
        <v>135</v>
      </c>
      <c r="D192" s="30">
        <v>-1</v>
      </c>
      <c r="F192" s="3">
        <v>19</v>
      </c>
      <c r="G192" s="3">
        <v>12</v>
      </c>
      <c r="H192" s="3">
        <v>24</v>
      </c>
    </row>
    <row r="193" spans="2:8" x14ac:dyDescent="0.2">
      <c r="B193" s="3" t="s">
        <v>67</v>
      </c>
      <c r="C193" s="22" t="s">
        <v>136</v>
      </c>
      <c r="D193" s="30">
        <v>-2</v>
      </c>
      <c r="F193" s="3">
        <v>20</v>
      </c>
      <c r="G193" s="3">
        <v>13</v>
      </c>
      <c r="H193" s="3">
        <v>25</v>
      </c>
    </row>
    <row r="194" spans="2:8" x14ac:dyDescent="0.2">
      <c r="B194" s="3" t="s">
        <v>68</v>
      </c>
      <c r="C194" s="22" t="s">
        <v>137</v>
      </c>
      <c r="D194" s="30">
        <v>-3</v>
      </c>
      <c r="F194" s="3">
        <v>21</v>
      </c>
      <c r="G194" s="3">
        <v>14</v>
      </c>
      <c r="H194" s="3">
        <v>26</v>
      </c>
    </row>
    <row r="195" spans="2:8" x14ac:dyDescent="0.2">
      <c r="C195" s="22" t="s">
        <v>138</v>
      </c>
      <c r="F195" s="3">
        <v>22</v>
      </c>
      <c r="G195" s="3">
        <v>15</v>
      </c>
      <c r="H195" s="3">
        <v>27</v>
      </c>
    </row>
    <row r="196" spans="2:8" x14ac:dyDescent="0.2">
      <c r="B196" s="1" t="s">
        <v>191</v>
      </c>
      <c r="C196" s="22" t="s">
        <v>139</v>
      </c>
      <c r="D196" s="1" t="s">
        <v>278</v>
      </c>
      <c r="F196" s="3">
        <v>23</v>
      </c>
      <c r="G196" s="3">
        <v>16</v>
      </c>
      <c r="H196" s="3">
        <v>28</v>
      </c>
    </row>
    <row r="197" spans="2:8" x14ac:dyDescent="0.2">
      <c r="B197" s="3" t="s">
        <v>192</v>
      </c>
      <c r="C197" s="3" t="s">
        <v>197</v>
      </c>
      <c r="D197" s="3">
        <v>2</v>
      </c>
      <c r="F197" s="3">
        <v>24</v>
      </c>
      <c r="G197" s="3">
        <v>17</v>
      </c>
      <c r="H197" s="3">
        <v>29</v>
      </c>
    </row>
    <row r="198" spans="2:8" x14ac:dyDescent="0.2">
      <c r="B198" s="3" t="s">
        <v>193</v>
      </c>
      <c r="C198" s="1" t="s">
        <v>325</v>
      </c>
      <c r="D198" s="3">
        <v>3</v>
      </c>
      <c r="G198" s="3">
        <v>18</v>
      </c>
      <c r="H198" s="3">
        <v>30</v>
      </c>
    </row>
    <row r="199" spans="2:8" x14ac:dyDescent="0.2">
      <c r="B199" s="3" t="s">
        <v>194</v>
      </c>
      <c r="C199" s="23" t="s">
        <v>140</v>
      </c>
      <c r="D199" s="3">
        <v>4</v>
      </c>
      <c r="F199" s="43" t="s">
        <v>292</v>
      </c>
      <c r="G199" s="3">
        <v>19</v>
      </c>
      <c r="H199" s="3">
        <v>31</v>
      </c>
    </row>
    <row r="200" spans="2:8" x14ac:dyDescent="0.2">
      <c r="B200" s="3" t="s">
        <v>195</v>
      </c>
      <c r="C200" s="23" t="s">
        <v>141</v>
      </c>
      <c r="D200" s="3">
        <v>5</v>
      </c>
      <c r="F200" s="3">
        <v>8</v>
      </c>
      <c r="G200" s="3">
        <v>20</v>
      </c>
      <c r="H200" s="3">
        <v>32</v>
      </c>
    </row>
    <row r="201" spans="2:8" x14ac:dyDescent="0.2">
      <c r="C201" s="23" t="s">
        <v>142</v>
      </c>
      <c r="D201" s="3">
        <v>6</v>
      </c>
      <c r="F201" s="3">
        <v>9</v>
      </c>
      <c r="G201" s="3">
        <v>21</v>
      </c>
      <c r="H201" s="3">
        <v>33</v>
      </c>
    </row>
    <row r="202" spans="2:8" x14ac:dyDescent="0.2">
      <c r="B202" s="1" t="s">
        <v>191</v>
      </c>
      <c r="C202" s="23" t="s">
        <v>143</v>
      </c>
      <c r="D202" s="3">
        <v>7</v>
      </c>
      <c r="F202" s="3">
        <v>10</v>
      </c>
      <c r="G202" s="3">
        <v>22</v>
      </c>
      <c r="H202" s="3">
        <v>34</v>
      </c>
    </row>
    <row r="203" spans="2:8" x14ac:dyDescent="0.2">
      <c r="B203" s="3" t="s">
        <v>198</v>
      </c>
      <c r="C203" s="23" t="s">
        <v>144</v>
      </c>
      <c r="D203" s="3">
        <v>8</v>
      </c>
      <c r="F203" s="3">
        <v>11</v>
      </c>
      <c r="G203" s="3">
        <v>23</v>
      </c>
      <c r="H203" s="3">
        <v>35</v>
      </c>
    </row>
    <row r="204" spans="2:8" x14ac:dyDescent="0.2">
      <c r="B204" s="3" t="s">
        <v>196</v>
      </c>
      <c r="C204" s="23" t="s">
        <v>145</v>
      </c>
      <c r="D204" s="3">
        <v>9</v>
      </c>
      <c r="F204" s="3">
        <v>12</v>
      </c>
      <c r="G204" s="3">
        <v>24</v>
      </c>
      <c r="H204" s="3">
        <v>36</v>
      </c>
    </row>
    <row r="205" spans="2:8" x14ac:dyDescent="0.2">
      <c r="B205" s="3" t="s">
        <v>186</v>
      </c>
      <c r="C205" s="23" t="s">
        <v>146</v>
      </c>
      <c r="D205" s="37">
        <v>10</v>
      </c>
      <c r="F205" s="3">
        <v>13</v>
      </c>
      <c r="G205" s="3">
        <v>25</v>
      </c>
      <c r="H205" s="3">
        <v>37</v>
      </c>
    </row>
    <row r="206" spans="2:8" x14ac:dyDescent="0.2">
      <c r="C206" s="23" t="s">
        <v>147</v>
      </c>
      <c r="D206" s="37">
        <v>11</v>
      </c>
      <c r="F206" s="3">
        <v>14</v>
      </c>
      <c r="G206" s="3">
        <v>26</v>
      </c>
      <c r="H206" s="3">
        <v>38</v>
      </c>
    </row>
    <row r="207" spans="2:8" x14ac:dyDescent="0.2">
      <c r="B207" s="1" t="s">
        <v>191</v>
      </c>
      <c r="C207" s="23" t="s">
        <v>148</v>
      </c>
      <c r="D207" s="37">
        <v>12</v>
      </c>
      <c r="F207" s="3">
        <v>15</v>
      </c>
      <c r="G207" s="3">
        <v>27</v>
      </c>
      <c r="H207" s="3">
        <v>39</v>
      </c>
    </row>
    <row r="208" spans="2:8" x14ac:dyDescent="0.2">
      <c r="B208" s="3" t="s">
        <v>199</v>
      </c>
      <c r="C208" s="23" t="s">
        <v>149</v>
      </c>
      <c r="F208" s="3">
        <v>16</v>
      </c>
      <c r="G208" s="3">
        <v>28</v>
      </c>
      <c r="H208" s="3">
        <v>40</v>
      </c>
    </row>
    <row r="209" spans="2:8" x14ac:dyDescent="0.2">
      <c r="C209" s="23" t="s">
        <v>150</v>
      </c>
      <c r="D209" s="1" t="s">
        <v>291</v>
      </c>
      <c r="F209" s="3">
        <v>17</v>
      </c>
      <c r="G209" s="3">
        <v>29</v>
      </c>
      <c r="H209" s="3">
        <v>41</v>
      </c>
    </row>
    <row r="210" spans="2:8" x14ac:dyDescent="0.2">
      <c r="B210" s="1" t="s">
        <v>254</v>
      </c>
      <c r="C210" s="23" t="s">
        <v>151</v>
      </c>
      <c r="D210" s="3">
        <v>6</v>
      </c>
      <c r="F210" s="3">
        <v>18</v>
      </c>
      <c r="G210" s="3">
        <v>30</v>
      </c>
      <c r="H210" s="3">
        <v>42</v>
      </c>
    </row>
    <row r="211" spans="2:8" x14ac:dyDescent="0.2">
      <c r="B211" s="3" t="s">
        <v>255</v>
      </c>
      <c r="C211" s="23" t="s">
        <v>152</v>
      </c>
      <c r="D211" s="3">
        <v>7</v>
      </c>
      <c r="F211" s="3">
        <v>19</v>
      </c>
      <c r="G211" s="3">
        <v>31</v>
      </c>
      <c r="H211" s="3">
        <v>43</v>
      </c>
    </row>
    <row r="212" spans="2:8" x14ac:dyDescent="0.2">
      <c r="B212" s="3" t="s">
        <v>256</v>
      </c>
      <c r="C212" s="23" t="s">
        <v>153</v>
      </c>
      <c r="D212" s="3">
        <v>8</v>
      </c>
      <c r="F212" s="3">
        <v>20</v>
      </c>
      <c r="G212" s="3">
        <v>32</v>
      </c>
      <c r="H212" s="3">
        <v>44</v>
      </c>
    </row>
    <row r="213" spans="2:8" x14ac:dyDescent="0.2">
      <c r="B213" s="3" t="s">
        <v>257</v>
      </c>
      <c r="C213" s="23" t="s">
        <v>154</v>
      </c>
      <c r="D213" s="3">
        <v>9</v>
      </c>
      <c r="F213" s="3">
        <v>21</v>
      </c>
      <c r="G213" s="3">
        <v>33</v>
      </c>
      <c r="H213" s="3">
        <v>45</v>
      </c>
    </row>
    <row r="214" spans="2:8" x14ac:dyDescent="0.2">
      <c r="B214" s="3" t="s">
        <v>258</v>
      </c>
      <c r="C214" s="23" t="s">
        <v>155</v>
      </c>
      <c r="D214" s="37">
        <v>10</v>
      </c>
      <c r="F214" s="3">
        <v>22</v>
      </c>
      <c r="G214" s="3">
        <v>34</v>
      </c>
      <c r="H214" s="3">
        <v>46</v>
      </c>
    </row>
    <row r="215" spans="2:8" x14ac:dyDescent="0.2">
      <c r="B215" s="3" t="s">
        <v>259</v>
      </c>
      <c r="C215" s="23" t="s">
        <v>156</v>
      </c>
      <c r="D215" s="37">
        <v>11</v>
      </c>
      <c r="F215" s="3">
        <v>23</v>
      </c>
      <c r="G215" s="3">
        <v>35</v>
      </c>
      <c r="H215" s="3">
        <v>47</v>
      </c>
    </row>
    <row r="216" spans="2:8" x14ac:dyDescent="0.2">
      <c r="C216" s="23" t="s">
        <v>157</v>
      </c>
      <c r="D216" s="37">
        <v>12</v>
      </c>
      <c r="F216" s="3">
        <v>24</v>
      </c>
      <c r="G216" s="3">
        <v>36</v>
      </c>
      <c r="H216" s="3">
        <v>48</v>
      </c>
    </row>
    <row r="217" spans="2:8" x14ac:dyDescent="0.2">
      <c r="B217" s="1" t="s">
        <v>262</v>
      </c>
      <c r="C217" s="23" t="s">
        <v>158</v>
      </c>
      <c r="D217" s="37">
        <v>13</v>
      </c>
      <c r="F217" s="3">
        <v>25</v>
      </c>
      <c r="G217" s="3">
        <v>37</v>
      </c>
      <c r="H217" s="3">
        <v>49</v>
      </c>
    </row>
    <row r="218" spans="2:8" x14ac:dyDescent="0.2">
      <c r="B218" s="3">
        <v>1</v>
      </c>
      <c r="C218" s="23" t="s">
        <v>159</v>
      </c>
      <c r="D218" s="37">
        <v>14</v>
      </c>
      <c r="F218" s="3">
        <v>26</v>
      </c>
      <c r="G218" s="3">
        <v>38</v>
      </c>
      <c r="H218" s="3">
        <v>50</v>
      </c>
    </row>
    <row r="219" spans="2:8" x14ac:dyDescent="0.2">
      <c r="B219" s="3">
        <v>2</v>
      </c>
      <c r="C219" s="23" t="s">
        <v>160</v>
      </c>
      <c r="D219" s="37">
        <v>15</v>
      </c>
      <c r="F219" s="3">
        <v>27</v>
      </c>
      <c r="G219" s="3">
        <v>39</v>
      </c>
      <c r="H219" s="3">
        <v>51</v>
      </c>
    </row>
    <row r="220" spans="2:8" x14ac:dyDescent="0.2">
      <c r="B220" s="3">
        <v>3</v>
      </c>
      <c r="C220" s="23" t="s">
        <v>161</v>
      </c>
      <c r="D220" s="37">
        <v>16</v>
      </c>
      <c r="F220" s="3">
        <v>28</v>
      </c>
      <c r="G220" s="3">
        <v>40</v>
      </c>
      <c r="H220" s="3">
        <v>52</v>
      </c>
    </row>
    <row r="221" spans="2:8" x14ac:dyDescent="0.2">
      <c r="B221" s="3">
        <v>4</v>
      </c>
      <c r="C221" s="23" t="s">
        <v>162</v>
      </c>
      <c r="D221" s="37">
        <v>17</v>
      </c>
      <c r="F221" s="3">
        <v>29</v>
      </c>
      <c r="G221" s="3">
        <v>41</v>
      </c>
      <c r="H221" s="3">
        <v>53</v>
      </c>
    </row>
    <row r="222" spans="2:8" x14ac:dyDescent="0.2">
      <c r="B222" s="3">
        <v>5</v>
      </c>
      <c r="C222" s="23" t="s">
        <v>163</v>
      </c>
      <c r="D222" s="37">
        <v>18</v>
      </c>
      <c r="F222" s="3">
        <v>30</v>
      </c>
      <c r="G222" s="3">
        <v>42</v>
      </c>
      <c r="H222" s="3">
        <v>54</v>
      </c>
    </row>
    <row r="223" spans="2:8" x14ac:dyDescent="0.2">
      <c r="B223" s="3">
        <v>6</v>
      </c>
      <c r="C223" s="23" t="s">
        <v>164</v>
      </c>
      <c r="D223" s="37">
        <v>19</v>
      </c>
      <c r="F223" s="3">
        <v>31</v>
      </c>
      <c r="G223" s="3">
        <v>43</v>
      </c>
      <c r="H223" s="3">
        <v>55</v>
      </c>
    </row>
    <row r="224" spans="2:8" x14ac:dyDescent="0.2">
      <c r="B224" s="3">
        <v>7</v>
      </c>
      <c r="C224" s="23" t="s">
        <v>165</v>
      </c>
      <c r="D224" s="37">
        <v>20</v>
      </c>
      <c r="F224" s="3">
        <v>32</v>
      </c>
      <c r="G224" s="3">
        <v>44</v>
      </c>
      <c r="H224" s="3">
        <v>56</v>
      </c>
    </row>
    <row r="225" spans="2:8" x14ac:dyDescent="0.2">
      <c r="B225" s="3">
        <v>8</v>
      </c>
      <c r="C225" s="23" t="s">
        <v>166</v>
      </c>
      <c r="D225" s="37">
        <v>21</v>
      </c>
      <c r="F225" s="3">
        <v>33</v>
      </c>
      <c r="G225" s="3">
        <v>45</v>
      </c>
      <c r="H225" s="3">
        <v>57</v>
      </c>
    </row>
    <row r="226" spans="2:8" x14ac:dyDescent="0.2">
      <c r="B226" s="3">
        <v>9</v>
      </c>
      <c r="C226" s="23" t="s">
        <v>167</v>
      </c>
      <c r="D226" s="37">
        <v>22</v>
      </c>
      <c r="F226" s="3">
        <v>34</v>
      </c>
      <c r="G226" s="3">
        <v>46</v>
      </c>
      <c r="H226" s="3">
        <v>58</v>
      </c>
    </row>
    <row r="227" spans="2:8" x14ac:dyDescent="0.2">
      <c r="B227" s="3">
        <v>10</v>
      </c>
      <c r="C227" s="23" t="s">
        <v>168</v>
      </c>
      <c r="D227" s="37">
        <v>23</v>
      </c>
      <c r="F227" s="3">
        <v>35</v>
      </c>
      <c r="G227" s="3">
        <v>47</v>
      </c>
      <c r="H227" s="3">
        <v>59</v>
      </c>
    </row>
    <row r="228" spans="2:8" x14ac:dyDescent="0.2">
      <c r="B228" s="3">
        <v>11</v>
      </c>
      <c r="C228" s="23" t="s">
        <v>168</v>
      </c>
      <c r="D228" s="37">
        <v>24</v>
      </c>
      <c r="F228" s="3">
        <v>36</v>
      </c>
      <c r="G228" s="3">
        <v>48</v>
      </c>
      <c r="H228" s="3">
        <v>60</v>
      </c>
    </row>
    <row r="229" spans="2:8" x14ac:dyDescent="0.2">
      <c r="B229" s="3">
        <v>12</v>
      </c>
      <c r="C229" s="23" t="s">
        <v>169</v>
      </c>
      <c r="D229" s="37">
        <v>25</v>
      </c>
      <c r="F229" s="3">
        <v>37</v>
      </c>
      <c r="G229" s="3">
        <v>49</v>
      </c>
      <c r="H229" s="3">
        <v>61</v>
      </c>
    </row>
    <row r="230" spans="2:8" x14ac:dyDescent="0.2">
      <c r="B230" s="3">
        <v>13</v>
      </c>
      <c r="C230" s="23" t="s">
        <v>170</v>
      </c>
      <c r="D230" s="37">
        <v>26</v>
      </c>
      <c r="F230" s="3">
        <v>38</v>
      </c>
      <c r="G230" s="3">
        <v>50</v>
      </c>
      <c r="H230" s="3">
        <v>62</v>
      </c>
    </row>
    <row r="231" spans="2:8" x14ac:dyDescent="0.2">
      <c r="B231" s="3">
        <v>14</v>
      </c>
      <c r="C231" s="23" t="s">
        <v>171</v>
      </c>
      <c r="D231" s="37">
        <v>27</v>
      </c>
      <c r="F231" s="3">
        <v>39</v>
      </c>
      <c r="G231" s="3">
        <v>51</v>
      </c>
      <c r="H231" s="3">
        <v>63</v>
      </c>
    </row>
    <row r="232" spans="2:8" x14ac:dyDescent="0.2">
      <c r="B232" s="3">
        <v>15</v>
      </c>
      <c r="C232" s="23" t="s">
        <v>172</v>
      </c>
      <c r="D232" s="37">
        <v>28</v>
      </c>
      <c r="F232" s="3">
        <v>40</v>
      </c>
      <c r="G232" s="3">
        <v>52</v>
      </c>
      <c r="H232" s="3">
        <v>64</v>
      </c>
    </row>
    <row r="233" spans="2:8" x14ac:dyDescent="0.2">
      <c r="C233" s="23" t="s">
        <v>173</v>
      </c>
      <c r="D233" s="37">
        <v>29</v>
      </c>
      <c r="F233" s="3">
        <v>41</v>
      </c>
      <c r="G233" s="3">
        <v>53</v>
      </c>
      <c r="H233" s="3">
        <v>65</v>
      </c>
    </row>
    <row r="234" spans="2:8" x14ac:dyDescent="0.2">
      <c r="B234" s="1" t="s">
        <v>321</v>
      </c>
      <c r="C234" s="23" t="s">
        <v>174</v>
      </c>
      <c r="D234" s="37">
        <v>30</v>
      </c>
      <c r="F234" s="3">
        <v>42</v>
      </c>
      <c r="G234" s="3">
        <v>54</v>
      </c>
      <c r="H234" s="3">
        <v>66</v>
      </c>
    </row>
    <row r="235" spans="2:8" x14ac:dyDescent="0.2">
      <c r="B235" s="3" t="str">
        <f>IF(M10="Bourg","Bourgs",IF(M10="Ville mineure","Villes.min",IF(M10="Ville majeure","Villes.maj",IF(M10="Capitale","Capitales",""))))</f>
        <v>Bourgs</v>
      </c>
      <c r="C235" s="23" t="s">
        <v>175</v>
      </c>
      <c r="D235" s="37">
        <v>31</v>
      </c>
      <c r="F235" s="3">
        <v>43</v>
      </c>
      <c r="G235" s="3">
        <v>55</v>
      </c>
      <c r="H235" s="3">
        <v>67</v>
      </c>
    </row>
    <row r="236" spans="2:8" x14ac:dyDescent="0.2">
      <c r="C236" s="23" t="s">
        <v>176</v>
      </c>
      <c r="D236" s="37">
        <v>32</v>
      </c>
      <c r="F236" s="3">
        <v>44</v>
      </c>
      <c r="G236" s="3">
        <v>56</v>
      </c>
      <c r="H236" s="3">
        <v>68</v>
      </c>
    </row>
    <row r="237" spans="2:8" x14ac:dyDescent="0.2">
      <c r="C237" s="23" t="s">
        <v>177</v>
      </c>
      <c r="D237" s="37">
        <v>33</v>
      </c>
      <c r="F237" s="3">
        <v>45</v>
      </c>
      <c r="G237" s="3">
        <v>57</v>
      </c>
      <c r="H237" s="3">
        <v>69</v>
      </c>
    </row>
    <row r="238" spans="2:8" x14ac:dyDescent="0.2">
      <c r="C238" s="23" t="s">
        <v>178</v>
      </c>
      <c r="D238" s="37">
        <v>34</v>
      </c>
      <c r="F238" s="3">
        <v>46</v>
      </c>
      <c r="G238" s="3">
        <v>58</v>
      </c>
      <c r="H238" s="3">
        <v>70</v>
      </c>
    </row>
    <row r="239" spans="2:8" x14ac:dyDescent="0.2">
      <c r="C239" s="23" t="s">
        <v>179</v>
      </c>
      <c r="D239" s="37">
        <v>35</v>
      </c>
      <c r="F239" s="3">
        <v>47</v>
      </c>
      <c r="G239" s="3">
        <v>59</v>
      </c>
      <c r="H239" s="3">
        <v>71</v>
      </c>
    </row>
    <row r="240" spans="2:8" x14ac:dyDescent="0.2">
      <c r="D240" s="37">
        <v>36</v>
      </c>
      <c r="F240" s="3">
        <v>48</v>
      </c>
      <c r="G240" s="3">
        <v>60</v>
      </c>
      <c r="H240" s="3">
        <v>72</v>
      </c>
    </row>
  </sheetData>
  <mergeCells count="54">
    <mergeCell ref="X5:Y5"/>
    <mergeCell ref="X6:Y6"/>
    <mergeCell ref="X11:Y11"/>
    <mergeCell ref="X12:Y12"/>
    <mergeCell ref="C15:D15"/>
    <mergeCell ref="F15:G15"/>
    <mergeCell ref="E8:G8"/>
    <mergeCell ref="E9:G9"/>
    <mergeCell ref="W9:Y9"/>
    <mergeCell ref="W10:Y10"/>
    <mergeCell ref="C11:D11"/>
    <mergeCell ref="B41:H41"/>
    <mergeCell ref="N16:P16"/>
    <mergeCell ref="B17:H17"/>
    <mergeCell ref="C18:H18"/>
    <mergeCell ref="B22:C22"/>
    <mergeCell ref="C27:D27"/>
    <mergeCell ref="F27:G27"/>
    <mergeCell ref="B29:H29"/>
    <mergeCell ref="C30:H30"/>
    <mergeCell ref="B34:C34"/>
    <mergeCell ref="C39:D39"/>
    <mergeCell ref="F39:G39"/>
    <mergeCell ref="B70:H70"/>
    <mergeCell ref="C42:H42"/>
    <mergeCell ref="B46:C46"/>
    <mergeCell ref="C51:D51"/>
    <mergeCell ref="F51:G51"/>
    <mergeCell ref="B53:H53"/>
    <mergeCell ref="C54:H54"/>
    <mergeCell ref="B58:C58"/>
    <mergeCell ref="O60:P60"/>
    <mergeCell ref="O61:P61"/>
    <mergeCell ref="C68:D68"/>
    <mergeCell ref="F68:G68"/>
    <mergeCell ref="B94:H94"/>
    <mergeCell ref="C71:H71"/>
    <mergeCell ref="B75:C75"/>
    <mergeCell ref="C80:D80"/>
    <mergeCell ref="F80:G80"/>
    <mergeCell ref="B82:H82"/>
    <mergeCell ref="C83:H83"/>
    <mergeCell ref="M83:N83"/>
    <mergeCell ref="B87:C87"/>
    <mergeCell ref="C92:D92"/>
    <mergeCell ref="F92:G92"/>
    <mergeCell ref="J93:P93"/>
    <mergeCell ref="B111:C111"/>
    <mergeCell ref="C95:H95"/>
    <mergeCell ref="B99:C99"/>
    <mergeCell ref="C104:D104"/>
    <mergeCell ref="F104:G104"/>
    <mergeCell ref="B106:H106"/>
    <mergeCell ref="C107:H107"/>
  </mergeCells>
  <conditionalFormatting sqref="D25:D26">
    <cfRule type="cellIs" dxfId="67" priority="57" operator="greaterThanOrEqual">
      <formula>25</formula>
    </cfRule>
    <cfRule type="cellIs" dxfId="66" priority="58" operator="lessThan">
      <formula>25</formula>
    </cfRule>
  </conditionalFormatting>
  <conditionalFormatting sqref="D37:D38">
    <cfRule type="cellIs" dxfId="65" priority="55" operator="greaterThanOrEqual">
      <formula>25</formula>
    </cfRule>
    <cfRule type="cellIs" dxfId="64" priority="56" operator="lessThan">
      <formula>25</formula>
    </cfRule>
  </conditionalFormatting>
  <conditionalFormatting sqref="D49:D50">
    <cfRule type="cellIs" dxfId="63" priority="53" operator="greaterThanOrEqual">
      <formula>25</formula>
    </cfRule>
    <cfRule type="cellIs" dxfId="62" priority="54" operator="lessThan">
      <formula>25</formula>
    </cfRule>
  </conditionalFormatting>
  <conditionalFormatting sqref="D78:D79">
    <cfRule type="cellIs" dxfId="61" priority="51" operator="greaterThanOrEqual">
      <formula>25</formula>
    </cfRule>
    <cfRule type="cellIs" dxfId="60" priority="52" operator="lessThan">
      <formula>25</formula>
    </cfRule>
  </conditionalFormatting>
  <conditionalFormatting sqref="D90:D91">
    <cfRule type="cellIs" dxfId="59" priority="49" operator="greaterThanOrEqual">
      <formula>25</formula>
    </cfRule>
    <cfRule type="cellIs" dxfId="58" priority="50" operator="lessThan">
      <formula>25</formula>
    </cfRule>
  </conditionalFormatting>
  <conditionalFormatting sqref="D102:D103">
    <cfRule type="cellIs" dxfId="57" priority="47" operator="greaterThanOrEqual">
      <formula>25</formula>
    </cfRule>
    <cfRule type="cellIs" dxfId="56" priority="48" operator="lessThan">
      <formula>25</formula>
    </cfRule>
  </conditionalFormatting>
  <conditionalFormatting sqref="E24 E36 E48 E60 E77 E89 E101 E113">
    <cfRule type="cellIs" dxfId="55" priority="45" operator="lessThan">
      <formula>25</formula>
    </cfRule>
    <cfRule type="cellIs" dxfId="54" priority="46" operator="greaterThanOrEqual">
      <formula>25</formula>
    </cfRule>
  </conditionalFormatting>
  <conditionalFormatting sqref="C11:D11">
    <cfRule type="containsText" dxfId="53" priority="44" operator="containsText" text="* Indiquez le lieu du combat *">
      <formula>NOT(ISERROR(SEARCH("* Indiquez le lieu du combat *",C11)))</formula>
    </cfRule>
  </conditionalFormatting>
  <conditionalFormatting sqref="M14">
    <cfRule type="containsText" dxfId="52" priority="42" operator="containsText" text="Non">
      <formula>NOT(ISERROR(SEARCH("Non",M14)))</formula>
    </cfRule>
    <cfRule type="containsText" dxfId="51" priority="43" operator="containsText" text="Oui">
      <formula>NOT(ISERROR(SEARCH("Oui",M14)))</formula>
    </cfRule>
  </conditionalFormatting>
  <conditionalFormatting sqref="O54:O55">
    <cfRule type="cellIs" dxfId="50" priority="40" operator="greaterThanOrEqual">
      <formula>25</formula>
    </cfRule>
    <cfRule type="cellIs" dxfId="49" priority="41" operator="lessThan">
      <formula>25</formula>
    </cfRule>
  </conditionalFormatting>
  <conditionalFormatting sqref="M70">
    <cfRule type="containsText" dxfId="48" priority="38" operator="containsText" text="Non">
      <formula>NOT(ISERROR(SEARCH("Non",M70)))</formula>
    </cfRule>
    <cfRule type="containsText" dxfId="47" priority="39" operator="containsText" text="Oui">
      <formula>NOT(ISERROR(SEARCH("Oui",M70)))</formula>
    </cfRule>
  </conditionalFormatting>
  <conditionalFormatting sqref="L9 L11 L13 J39 L64 L72 L15">
    <cfRule type="containsText" dxfId="46" priority="35" operator="containsText" text="Conforme">
      <formula>NOT(ISERROR(SEARCH("Conforme",J9)))</formula>
    </cfRule>
    <cfRule type="containsText" dxfId="45" priority="36" operator="containsText" text="Info :">
      <formula>NOT(ISERROR(SEARCH("Info :",J9)))</formula>
    </cfRule>
    <cfRule type="containsText" dxfId="44" priority="37" operator="containsText" text="Erreur">
      <formula>NOT(ISERROR(SEARCH("Erreur",J9)))</formula>
    </cfRule>
  </conditionalFormatting>
  <conditionalFormatting sqref="K69">
    <cfRule type="containsText" dxfId="43" priority="34" operator="containsText" text="Différence impaire">
      <formula>NOT(ISERROR(SEARCH("Différence impaire",K69)))</formula>
    </cfRule>
  </conditionalFormatting>
  <conditionalFormatting sqref="L84">
    <cfRule type="containsText" dxfId="42" priority="31" operator="containsText" text="Conforme">
      <formula>NOT(ISERROR(SEARCH("Conforme",L84)))</formula>
    </cfRule>
    <cfRule type="containsText" dxfId="41" priority="32" operator="containsText" text="Info :">
      <formula>NOT(ISERROR(SEARCH("Info :",L84)))</formula>
    </cfRule>
    <cfRule type="containsText" dxfId="40" priority="33" operator="containsText" text="Erreur">
      <formula>NOT(ISERROR(SEARCH("Erreur",L84)))</formula>
    </cfRule>
  </conditionalFormatting>
  <conditionalFormatting sqref="O80:O81">
    <cfRule type="containsText" dxfId="39" priority="30" operator="containsText" text="Valeur 2D6 ?">
      <formula>NOT(ISERROR(SEARCH("Valeur 2D6 ?",O80)))</formula>
    </cfRule>
  </conditionalFormatting>
  <conditionalFormatting sqref="J93">
    <cfRule type="containsText" dxfId="38" priority="27" operator="containsText" text="Conforme">
      <formula>NOT(ISERROR(SEARCH("Conforme",J93)))</formula>
    </cfRule>
    <cfRule type="containsText" dxfId="37" priority="28" operator="containsText" text="Info :">
      <formula>NOT(ISERROR(SEARCH("Info :",J93)))</formula>
    </cfRule>
    <cfRule type="containsText" dxfId="36" priority="29" operator="containsText" text="Erreur">
      <formula>NOT(ISERROR(SEARCH("Erreur",J93)))</formula>
    </cfRule>
  </conditionalFormatting>
  <conditionalFormatting sqref="V25:V26">
    <cfRule type="cellIs" dxfId="23" priority="11" operator="greaterThanOrEqual">
      <formula>25</formula>
    </cfRule>
    <cfRule type="cellIs" dxfId="22" priority="12" operator="lessThan">
      <formula>25</formula>
    </cfRule>
  </conditionalFormatting>
  <conditionalFormatting sqref="V37:V38">
    <cfRule type="cellIs" dxfId="19" priority="9" operator="greaterThanOrEqual">
      <formula>25</formula>
    </cfRule>
    <cfRule type="cellIs" dxfId="18" priority="10" operator="lessThan">
      <formula>25</formula>
    </cfRule>
  </conditionalFormatting>
  <conditionalFormatting sqref="V49:V50">
    <cfRule type="cellIs" dxfId="15" priority="7" operator="greaterThanOrEqual">
      <formula>25</formula>
    </cfRule>
    <cfRule type="cellIs" dxfId="14" priority="8" operator="lessThan">
      <formula>25</formula>
    </cfRule>
  </conditionalFormatting>
  <conditionalFormatting sqref="V78:V79">
    <cfRule type="cellIs" dxfId="11" priority="5" operator="greaterThanOrEqual">
      <formula>25</formula>
    </cfRule>
    <cfRule type="cellIs" dxfId="10" priority="6" operator="lessThan">
      <formula>25</formula>
    </cfRule>
  </conditionalFormatting>
  <conditionalFormatting sqref="V90:V91">
    <cfRule type="cellIs" dxfId="7" priority="3" operator="greaterThanOrEqual">
      <formula>25</formula>
    </cfRule>
    <cfRule type="cellIs" dxfId="6" priority="4" operator="lessThan">
      <formula>25</formula>
    </cfRule>
  </conditionalFormatting>
  <conditionalFormatting sqref="V102:V103">
    <cfRule type="cellIs" dxfId="3" priority="1" operator="greaterThanOrEqual">
      <formula>25</formula>
    </cfRule>
    <cfRule type="cellIs" dxfId="2" priority="2" operator="lessThan">
      <formula>25</formula>
    </cfRule>
  </conditionalFormatting>
  <dataValidations count="30">
    <dataValidation type="list" allowBlank="1" showInputMessage="1" showErrorMessage="1" promptTitle="Indiquer le Mode de Combat" prompt="• Mode Fuite si le Camp 1 (assaillants) a déclaré en 1er la Retraite (même partielle)._x000a_• Mode Poursuite si c'est le Camp 2 (défenseurs)._x000a_• Laisser vide ou sur &quot;Normal&quot; pour une résolution classique._x000a_• Détermine le total des PU, et donc le Bonus de Ratio." sqref="E8:G8">
      <formula1>Mode.combat</formula1>
    </dataValidation>
    <dataValidation type="list" allowBlank="1" showInputMessage="1" showErrorMessage="1" promptTitle="Mode de calcul des pertes" prompt="• Laissez vide ou sur &quot;Normal&quot; pour un calcul normal des pertes (aucune modif)._x000a_• Sinon, sélectionnez l'option adéquate. Elle appliquera alors un modificateur aux pertes de chaque camp." sqref="W9:W10">
      <formula1>Pertes</formula1>
    </dataValidation>
    <dataValidation type="list" allowBlank="1" showInputMessage="1" showErrorMessage="1" promptTitle="Indiquez la ville Assiégée" prompt="• Liste auto-générée selon le type de fortifications renseigné._x000a_• Sert juste pour l'auto-complètation des lignes à copier-coller sur le forum._x000a_• Sera ignoré si ce n'est pas un Siège (liste vierge)_x000a_• Test de Conformité non nécessaire (pas de calcul en jeu)" sqref="N16:P16">
      <formula1>INDIRECT(B235)</formula1>
    </dataValidation>
    <dataValidation type="list" allowBlank="1" showInputMessage="1" showErrorMessage="1" promptTitle="Indiquez valeur du jet de pertes" prompt="• Liste auto-générée selon le nombre de dés à lancer. À renseigner obligatoirement !_x000a_• Vous pouvez aussi indiquer manuellement la valeur du jet en insérant le résultat adéquat._x000a_• Vérification par test de conformité._x000a_• Détermine le pourcentage de pertes." sqref="O90:O91">
      <formula1>INDIRECT(F165)</formula1>
    </dataValidation>
    <dataValidation type="list" allowBlank="1" showInputMessage="1" showErrorMessage="1" promptTitle="Sélectionez valeur du 2D6" prompt="• Indiquer la somme du 2D6 jeté pour le Camp n°1._x000a_• Détermine le score final de ce round." sqref="O80">
      <formula1>Lancé.2D6</formula1>
    </dataValidation>
    <dataValidation type="list" allowBlank="1" showInputMessage="1" showErrorMessage="1" promptTitle="Sélectionez valeur du 2D6" prompt="• Indiquer la somme du 2D6 jeté pour le Camp n°2._x000a_• Détermine le score final de ce round." sqref="O81">
      <formula1>Lancé.2D6</formula1>
    </dataValidation>
    <dataValidation type="list" allowBlank="1" showInputMessage="1" showErrorMessage="1" promptTitle="Valeur du D2 égale à 2 ?" prompt="• &quot;Oui&quot; si le D2 vaut 2._x000a_• &quot;Non&quot; si le D2 vaut 1._x000a_• Donnera 1 point bonus au plus expérimenté si &quot;Oui&quot; est répondu et que la différence de niveau est bien impaire." sqref="M70">
      <formula1>"Oui,Non"</formula1>
    </dataValidation>
    <dataValidation type="list" allowBlank="1" showInputMessage="1" showErrorMessage="1" promptTitle="Indiquer le Score de Statégie" prompt="• Renseignez le Score de Stratégie pris en compte pour ce Camp durant ce round. (Confer Règles du Wargame pour savoir quel niveau appliquer parmi ceux des Seigneurs éligibles.)_x000a_• Chiffre entier = à 1 minimum._x000a_• Détermine le Modificateur Stratégique." sqref="O67:O68">
      <formula1>Niveau</formula1>
    </dataValidation>
    <dataValidation type="list" allowBlank="1" showInputMessage="1" showErrorMessage="1" prompt="• Indiquez le Moral des troupes du camp concerné._x000a_• Détermine le Malus de Moral" sqref="O60:P61">
      <formula1>Moral</formula1>
    </dataValidation>
    <dataValidation type="whole" operator="greaterThanOrEqual" allowBlank="1" showInputMessage="1" showErrorMessage="1" promptTitle="Nombre de Fantassins" prompt="• Indiquez le nombre d'Unités d'Infanterie dans cette armée._x000a_• Détermine les PU totaux de cette armée et de ce camp, et par conséquent le Bonus de Ratio." sqref="B19 B31 B43 B55 B72 B84 B96 B108">
      <formula1>0</formula1>
    </dataValidation>
    <dataValidation type="whole" operator="greaterThanOrEqual" allowBlank="1" showInputMessage="1" showErrorMessage="1" promptTitle="Nombre d'Unités de Siège" prompt="• Indiquez le nombre_x000a_d'Unités de Siège dans cette armée._x000a_• Détermine les PU totaux de cette armée et de ce camp, et par conséquent le Bonus de Ratio." sqref="B21 B33 B45 B57 B74 B86 B98 B110">
      <formula1>0</formula1>
    </dataValidation>
    <dataValidation type="whole" operator="greaterThanOrEqual" allowBlank="1" showInputMessage="1" showErrorMessage="1" promptTitle="Nombre de Cavaliers" prompt="• Indiquez le nombre d'Unités de Cavalerie dans cette armée._x000a_• Détermine les PU totaux de cette armée et de ce camp, et par conséquent le Bonus de Ratio." sqref="B20 B32 B44 B56 B73 B85 B97 B109">
      <formula1>0</formula1>
    </dataValidation>
    <dataValidation allowBlank="1" showInputMessage="1" showErrorMessage="1" promptTitle="Nom RP de l'armée seigneuriale" prompt="• Indiquez le nom du bataillon (si présent)._x000a_• Si l'armée ci-dessous est le fruit de la fusion de plusieurs bataillons d'une même Seigneurie, vous pouvez indiquer tous leurs noms sur la même ligne séparés par des &quot;+&quot;. Exemple : Légion I + Légion II." sqref="B94:H94 B17:H17 B29:H29 B41:H41 B53:H53 B70:H70 B82:H82 B106:H106"/>
    <dataValidation type="list" allowBlank="1" showInputMessage="1" showErrorMessage="1" promptTitle="Malus de Retard du Camp n°1" prompt="• Indiquez le Malus de Retard du camp des Assaillants (de 0 à -3) en fonction de leur retard de postage (en général -1 par tranche de 24 heures IRL)._x000a_• Si Malus, bride la note maximale possible de ce camp._x000a_• Détermine la note finale de RP de ce camp." sqref="L28">
      <formula1>Retard</formula1>
    </dataValidation>
    <dataValidation type="list" allowBlank="1" showInputMessage="1" showErrorMessage="1" promptTitle="Note de Tactique du Camp n°1" prompt="• Renseignez la note de Tactique sur 4 du camp n°1 sans tenir compte d'une éventuelle pénalité de Retard._x000a_• Si Résolution Auto, mettre &quot;Réso Auto&quot; sur toutes les cases &quot;Bonus RP&quot; et &quot;Bonus Tactique&quot;._x000a_• Détermine la note finale de RP des assaillants." sqref="L27">
      <formula1>Notes</formula1>
    </dataValidation>
    <dataValidation type="list" allowBlank="1" showInputMessage="1" showErrorMessage="1" promptTitle="Note de RP pur du Camp n°2" prompt="• Renseignez la note de RP du camp n°2 (défenseurs) sur 4 sans tenir compte d'une éventuelle pénalité de Retard._x000a_• Si Résolution Auto, mettre &quot;Réso Auto&quot; sur toutes les cases &quot;Bonus RP&quot; et &quot;Bonus Tactique&quot;._x000a_• Détermine la note finale de RP de ce camp." sqref="L32">
      <formula1>Notes</formula1>
    </dataValidation>
    <dataValidation type="list" allowBlank="1" showInputMessage="1" showErrorMessage="1" promptTitle="Note de RP pur du Camp n°1" prompt="• Renseignez la note de RP du camp n°1 (assaillants) sur 4 sans tenir compte d'une éventuelle pénalité de Retard._x000a_• Si Résolution Auto, mettre &quot;Réso Auto&quot; sur toutes les cases &quot;Bonus RP&quot; et &quot;Bonus Tactique&quot;._x000a_• Détermine la note finale de RP de ce camp." sqref="L26">
      <formula1>Notes</formula1>
    </dataValidation>
    <dataValidation allowBlank="1" showInputMessage="1" showErrorMessage="1" promptTitle="Nom du PJ principal de ce camp" prompt="• Indiquez le nom du Seigneur principal qui est à la tête de ce camp._x000a_• Sera le nom indiqué dans les phrases auto-remplies lors des calculs des bonus." sqref="C13 C66"/>
    <dataValidation type="list" allowBlank="1" showInputMessage="1" showErrorMessage="1" promptTitle="Malus de Retard du Camp n°2" prompt="• Indiquez le Malus de Retard du camp des Défenseurs (de 0 à -3) en fonction de leur retard de postage (en général -1 par tranche de 24 heures IRL)._x000a_• Si Malus, bride la note maximale possible de ce camp._x000a_• Détermine la note finale de RP de ce camp." sqref="L34">
      <formula1>Retard</formula1>
    </dataValidation>
    <dataValidation type="list" allowBlank="1" showInputMessage="1" showErrorMessage="1" promptTitle="Note de Tactique du Camp n°2" prompt="• Renseignez la note de Tactique sur 4 du camp n°2 sans tenir compte d'une éventuelle pénalité de Retard._x000a_• Si Résolution Auto, mettre &quot;Réso Auto&quot; sur toutes les cases &quot;Bonus RP&quot; et &quot;Bonus Tactique&quot;._x000a_• Détermine la note finale de RP des défenseurs." sqref="L33">
      <formula1>Notes</formula1>
    </dataValidation>
    <dataValidation type="list" allowBlank="1" showInputMessage="1" showErrorMessage="1" promptTitle="Précisez si présence d'un Palais" prompt="• Indiquer si le Palais (Forteresse) est présent ou non. Si vous répondez &quot;Oui&quot; à tord, un message d'erreur s'affichera._x000a_• Détermine le bonus de Fortifications." sqref="M14">
      <formula1>"Oui,Non"</formula1>
    </dataValidation>
    <dataValidation type="list" allowBlank="1" showInputMessage="1" showErrorMessage="1" promptTitle="Indiquez PV des forfitications" prompt="• Renseigner les PV des Murs pour ce round._x000a_• Entre 0 et 250 pour une ville._x000a_• Entre 0 et 150 pour un Camp._x000a_• Entre 0 et 80 pour un Avant-Poste._x000a_• Laisser obligatoirement vide ou 0 si Plaine rase ou Mer._x000a_• Détermine le bonus de Fortications." sqref="M12">
      <formula1>PV</formula1>
    </dataValidation>
    <dataValidation type="list" allowBlank="1" showInputMessage="1" showErrorMessage="1" promptTitle="Seconde province (si frontière)" prompt="• À renseigner uniquement si le combat se déroule sur une frontière nationale historique._x000a_• Laisser OBLIGATOIREMENT vide si ce n'est pas le cas._x000a_• Détermine le bonus de Combat à Domicile." sqref="M8">
      <formula1>Province2</formula1>
    </dataValidation>
    <dataValidation type="list" allowBlank="1" showInputMessage="1" showErrorMessage="1" promptTitle="Province où à lieu la bataille" prompt="• Indiquer la province où se déroule la bataille._x000a_• Mette &quot;Terrain neutre&quot; si le combat a lieu en Mer ou sur une province non listée._x000a_• Si le combat est sur une frontière, renseigner la seconde case ci-dessous._x000a_• Détermine le bonus de Combat à Domicile." sqref="M6">
      <formula1>Province</formula1>
    </dataValidation>
    <dataValidation type="list" allowBlank="1" showInputMessage="1" showErrorMessage="1" promptTitle="Indiquez le lieu du combat" prompt="• Précisez le lieu du combat (Plaine, Siège ou Mer)._x000a_• Déterminer le type de PU à prendre en compte pour le Ratio de Supériorité Numérique._x000a_• Détermine la liste des fortifications disponibles dans la Section 2." sqref="C11:D11">
      <formula1>Lieu</formula1>
    </dataValidation>
    <dataValidation type="list" allowBlank="1" showInputMessage="1" showErrorMessage="1" promptTitle="Type de fortifications" prompt="• Indiquer le type de fortifications en faveur des défenseurs (qui sont à toujours lister en Camp n°2)._x000a_• La liste déroulante change selon le type de terrain (Plaine, Mer ou Siège) indiqué._x000a_• Détermine le bonus de Fortifications." sqref="M10">
      <formula1>INDIRECT(C11)</formula1>
    </dataValidation>
    <dataValidation type="list" allowBlank="1" showInputMessage="1" showErrorMessage="1" promptTitle="Indiquez le Rang de votre PJ" prompt="• Indiquer le titre de votre PJ le plus important._x000a_• Laisser vide si aucun PJ à Charisme n'est présent dans cette armée._x000a_• Mettre OBLIGATOIREMENT &quot;Vassal&quot; si le PJ octroie +1 de Charisme. (Même si c'est un Duc ou autre IG)_x000a_• Détermine le Bonus de Charisme" sqref="B18 B30 B42 B54 B71 B83 B95 B107">
      <formula1>Rang</formula1>
    </dataValidation>
    <dataValidation allowBlank="1" showInputMessage="1" showErrorMessage="1" promptTitle="Indiquez le nom du PJ à Charisme" prompt="• Renseigner le ou les noms de vos PJ à Charisme présents dans cetre armée, en commencant par celui qui a titre correspondant à la case précédente._x000a_• Laisser VIDE si aucun PJ à Charisme ou si que général RP_x000a_• Sert juste pour le copier-coller sur le forum" sqref="C18:H18 C30:H30 C42:H42 C54:H54 C71:H71 C83:H83 C95:H95 C107:H107"/>
    <dataValidation type="list" allowBlank="1" showInputMessage="1" showErrorMessage="1" promptTitle="Indiquez votre Seigneurie" prompt="• Choisir la ville principale de la Seigneurie ayant recruté ces troupes._x000a_• Détermine le bonus de Combat à Domicile._x000a_• Laisser vide si pas d'armée." sqref="C15:D15 C27:D27 C39:D39 C51:D51 C68:D68 C80:D80 C92:D92 C104:D104">
      <formula1>Seigneurie</formula1>
    </dataValidation>
    <dataValidation type="whole" allowBlank="1" showInputMessage="1" showErrorMessage="1" promptTitle="Calcul des pertes manuel" prompt="• À renseigner uniquement si vous souhaitez un calcul manuel des pertes._x000a_• Laissez VIDE pour laisser le calcul des pertes automatique._x000a_• Iniquez les pertes de base (et non celles modifiées après cas de Retraite.)_x000a_• Obligatoirement un nombre entier." sqref="X5:Y6">
      <formula1>0</formula1>
      <formula2>150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58</vt:i4>
      </vt:variant>
    </vt:vector>
  </HeadingPairs>
  <TitlesOfParts>
    <vt:vector size="62" baseType="lpstr">
      <vt:lpstr>Exemple</vt:lpstr>
      <vt:lpstr>Piervallée</vt:lpstr>
      <vt:lpstr>Feuil2</vt:lpstr>
      <vt:lpstr>Feuil3</vt:lpstr>
      <vt:lpstr>Piervallée!Bourgs</vt:lpstr>
      <vt:lpstr>Bourgs</vt:lpstr>
      <vt:lpstr>Piervallée!Capitales</vt:lpstr>
      <vt:lpstr>Capitales</vt:lpstr>
      <vt:lpstr>Piervallée!Lancé.0D</vt:lpstr>
      <vt:lpstr>Lancé.0D</vt:lpstr>
      <vt:lpstr>Piervallée!Lancé.10D6</vt:lpstr>
      <vt:lpstr>Lancé.10D6</vt:lpstr>
      <vt:lpstr>Piervallée!Lancé.12D6</vt:lpstr>
      <vt:lpstr>Lancé.12D6</vt:lpstr>
      <vt:lpstr>Piervallée!Lancé.1D3</vt:lpstr>
      <vt:lpstr>Lancé.1D3</vt:lpstr>
      <vt:lpstr>Piervallée!Lancé.1D6</vt:lpstr>
      <vt:lpstr>Lancé.1D6</vt:lpstr>
      <vt:lpstr>Piervallée!Lancé.2D6</vt:lpstr>
      <vt:lpstr>Lancé.2D6</vt:lpstr>
      <vt:lpstr>Piervallée!Lancé.4D6</vt:lpstr>
      <vt:lpstr>Lancé.4D6</vt:lpstr>
      <vt:lpstr>Piervallée!Lancé.6D6</vt:lpstr>
      <vt:lpstr>Lancé.6D6</vt:lpstr>
      <vt:lpstr>Piervallée!Lancé.8D6</vt:lpstr>
      <vt:lpstr>Lancé.8D6</vt:lpstr>
      <vt:lpstr>Piervallée!Lieu</vt:lpstr>
      <vt:lpstr>Lieu</vt:lpstr>
      <vt:lpstr>Piervallée!Mer</vt:lpstr>
      <vt:lpstr>Mer</vt:lpstr>
      <vt:lpstr>Piervallée!Mode.combat</vt:lpstr>
      <vt:lpstr>Mode.combat</vt:lpstr>
      <vt:lpstr>Piervallée!Moral</vt:lpstr>
      <vt:lpstr>Moral</vt:lpstr>
      <vt:lpstr>Piervallée!Niveau</vt:lpstr>
      <vt:lpstr>Niveau</vt:lpstr>
      <vt:lpstr>Piervallée!Notes</vt:lpstr>
      <vt:lpstr>Notes</vt:lpstr>
      <vt:lpstr>Piervallée!Pertes</vt:lpstr>
      <vt:lpstr>Pertes</vt:lpstr>
      <vt:lpstr>Piervallée!Plaine</vt:lpstr>
      <vt:lpstr>Plaine</vt:lpstr>
      <vt:lpstr>Piervallée!Province</vt:lpstr>
      <vt:lpstr>Province</vt:lpstr>
      <vt:lpstr>Piervallée!Province2</vt:lpstr>
      <vt:lpstr>Province2</vt:lpstr>
      <vt:lpstr>Piervallée!PV</vt:lpstr>
      <vt:lpstr>PV</vt:lpstr>
      <vt:lpstr>Piervallée!Rang</vt:lpstr>
      <vt:lpstr>Rang</vt:lpstr>
      <vt:lpstr>Piervallée!Retard</vt:lpstr>
      <vt:lpstr>Retard</vt:lpstr>
      <vt:lpstr>Piervallée!Seigneurie</vt:lpstr>
      <vt:lpstr>Seigneurie</vt:lpstr>
      <vt:lpstr>Piervallée!Siège</vt:lpstr>
      <vt:lpstr>Siège</vt:lpstr>
      <vt:lpstr>Piervallée!Villes</vt:lpstr>
      <vt:lpstr>Villes</vt:lpstr>
      <vt:lpstr>Piervallée!Villes.maj</vt:lpstr>
      <vt:lpstr>Villes.maj</vt:lpstr>
      <vt:lpstr>Piervallée!Villes.min</vt:lpstr>
      <vt:lpstr>Villes.min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Amras Anárion</dc:creator>
  <cp:lastModifiedBy>Amras Anárion</cp:lastModifiedBy>
  <dcterms:created xsi:type="dcterms:W3CDTF">2013-08-10T12:18:16Z</dcterms:created>
  <dcterms:modified xsi:type="dcterms:W3CDTF">2013-08-26T23:38:34Z</dcterms:modified>
</cp:coreProperties>
</file>