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495" activeTab="9"/>
  </bookViews>
  <sheets>
    <sheet name="Gideon" sheetId="7" r:id="rId1"/>
    <sheet name="Dune" sheetId="8" r:id="rId2"/>
    <sheet name="Fort-Tempête" sheetId="4" r:id="rId3"/>
    <sheet name="Helstrom" sheetId="9" r:id="rId4"/>
    <sheet name="Narsis" sheetId="10" r:id="rId5"/>
    <sheet name="---Retraite---" sheetId="12" r:id="rId6"/>
    <sheet name="Pertes et XP" sheetId="5" r:id="rId7"/>
    <sheet name="Pertes et XP 2" sheetId="6" r:id="rId8"/>
    <sheet name="Pertes et XP 3" sheetId="11" r:id="rId9"/>
    <sheet name="Pertes et XP 4" sheetId="13" r:id="rId10"/>
  </sheets>
  <calcPr calcId="145621"/>
</workbook>
</file>

<file path=xl/calcChain.xml><?xml version="1.0" encoding="utf-8"?>
<calcChain xmlns="http://schemas.openxmlformats.org/spreadsheetml/2006/main">
  <c r="J99" i="13" l="1"/>
  <c r="H99" i="13"/>
  <c r="E95" i="13"/>
  <c r="E93" i="13"/>
  <c r="H93" i="13" s="1"/>
  <c r="E92" i="13"/>
  <c r="H92" i="13" s="1"/>
  <c r="E91" i="13"/>
  <c r="H91" i="13" s="1"/>
  <c r="E90" i="13"/>
  <c r="H90" i="13" s="1"/>
  <c r="E89" i="13"/>
  <c r="H89" i="13" s="1"/>
  <c r="E88" i="13"/>
  <c r="H88" i="13" s="1"/>
  <c r="E83" i="13"/>
  <c r="E81" i="13"/>
  <c r="H81" i="13" s="1"/>
  <c r="E80" i="13"/>
  <c r="H80" i="13" s="1"/>
  <c r="E79" i="13"/>
  <c r="H79" i="13" s="1"/>
  <c r="E78" i="13"/>
  <c r="H78" i="13" s="1"/>
  <c r="E77" i="13"/>
  <c r="H77" i="13" s="1"/>
  <c r="E76" i="13"/>
  <c r="H76" i="13" s="1"/>
  <c r="E71" i="13"/>
  <c r="E69" i="13"/>
  <c r="H69" i="13" s="1"/>
  <c r="E68" i="13"/>
  <c r="H68" i="13" s="1"/>
  <c r="E67" i="13"/>
  <c r="H67" i="13" s="1"/>
  <c r="E66" i="13"/>
  <c r="H66" i="13" s="1"/>
  <c r="E65" i="13"/>
  <c r="H65" i="13" s="1"/>
  <c r="E64" i="13"/>
  <c r="H64" i="13" s="1"/>
  <c r="J49" i="13"/>
  <c r="H49" i="13"/>
  <c r="E45" i="13"/>
  <c r="E43" i="13"/>
  <c r="H43" i="13" s="1"/>
  <c r="H42" i="13"/>
  <c r="E42" i="13"/>
  <c r="E41" i="13"/>
  <c r="H41" i="13" s="1"/>
  <c r="E40" i="13"/>
  <c r="H40" i="13" s="1"/>
  <c r="E39" i="13"/>
  <c r="H39" i="13" s="1"/>
  <c r="H38" i="13"/>
  <c r="E38" i="13"/>
  <c r="E33" i="13"/>
  <c r="E31" i="13"/>
  <c r="H31" i="13" s="1"/>
  <c r="E30" i="13"/>
  <c r="H30" i="13" s="1"/>
  <c r="H29" i="13"/>
  <c r="E29" i="13"/>
  <c r="E28" i="13"/>
  <c r="H28" i="13" s="1"/>
  <c r="E27" i="13"/>
  <c r="H27" i="13" s="1"/>
  <c r="E26" i="13"/>
  <c r="H26" i="13" s="1"/>
  <c r="E21" i="13"/>
  <c r="E19" i="13"/>
  <c r="H19" i="13" s="1"/>
  <c r="E18" i="13"/>
  <c r="H18" i="13" s="1"/>
  <c r="E17" i="13"/>
  <c r="H17" i="13" s="1"/>
  <c r="E16" i="13"/>
  <c r="H16" i="13" s="1"/>
  <c r="E15" i="13"/>
  <c r="H15" i="13" s="1"/>
  <c r="E14" i="13"/>
  <c r="H14" i="13" s="1"/>
  <c r="P11" i="13"/>
  <c r="W18" i="12"/>
  <c r="H83" i="13" l="1"/>
  <c r="H33" i="13"/>
  <c r="H95" i="13"/>
  <c r="H21" i="13"/>
  <c r="H45" i="13"/>
  <c r="H71" i="13"/>
  <c r="S12" i="12"/>
  <c r="D48" i="12"/>
  <c r="D35" i="12"/>
  <c r="D22" i="12"/>
  <c r="D66" i="12"/>
  <c r="D79" i="12"/>
  <c r="D92" i="12"/>
  <c r="D67" i="12"/>
  <c r="D80" i="12"/>
  <c r="F95" i="12" s="1"/>
  <c r="D93" i="12"/>
  <c r="D86" i="12"/>
  <c r="D73" i="12"/>
  <c r="D60" i="12"/>
  <c r="D42" i="12"/>
  <c r="D29" i="12"/>
  <c r="D16" i="12"/>
  <c r="D89" i="12"/>
  <c r="F88" i="12"/>
  <c r="D88" i="12"/>
  <c r="F87" i="12"/>
  <c r="D87" i="12"/>
  <c r="D85" i="12"/>
  <c r="D84" i="12"/>
  <c r="D76" i="12"/>
  <c r="F75" i="12"/>
  <c r="D75" i="12"/>
  <c r="F74" i="12"/>
  <c r="D74" i="12"/>
  <c r="D72" i="12"/>
  <c r="D71" i="12"/>
  <c r="D45" i="12"/>
  <c r="F44" i="12"/>
  <c r="D44" i="12"/>
  <c r="D49" i="12" s="1"/>
  <c r="F43" i="12"/>
  <c r="D43" i="12"/>
  <c r="D41" i="12"/>
  <c r="D40" i="12"/>
  <c r="D32" i="12"/>
  <c r="F31" i="12"/>
  <c r="D31" i="12"/>
  <c r="F30" i="12"/>
  <c r="D30" i="12"/>
  <c r="D28" i="12"/>
  <c r="D27" i="12"/>
  <c r="N54" i="12"/>
  <c r="N41" i="12"/>
  <c r="AA55" i="12"/>
  <c r="W88" i="12" s="1"/>
  <c r="AA54" i="12"/>
  <c r="W86" i="12" s="1"/>
  <c r="W74" i="12"/>
  <c r="AB74" i="12" s="1"/>
  <c r="U14" i="12"/>
  <c r="W14" i="12" s="1"/>
  <c r="Z14" i="12" s="1"/>
  <c r="U16" i="12"/>
  <c r="U17" i="12"/>
  <c r="W17" i="12" s="1"/>
  <c r="X62" i="12"/>
  <c r="U62" i="12"/>
  <c r="X61" i="12"/>
  <c r="U61" i="12"/>
  <c r="W61" i="12" s="1"/>
  <c r="X60" i="12"/>
  <c r="U60" i="12"/>
  <c r="X88" i="12"/>
  <c r="U88" i="12"/>
  <c r="X87" i="12"/>
  <c r="U87" i="12"/>
  <c r="W87" i="12" s="1"/>
  <c r="X86" i="12"/>
  <c r="U86" i="12"/>
  <c r="X75" i="12"/>
  <c r="U75" i="12"/>
  <c r="X74" i="12"/>
  <c r="U74" i="12"/>
  <c r="X73" i="12"/>
  <c r="U73" i="12"/>
  <c r="X44" i="12"/>
  <c r="U44" i="12"/>
  <c r="X43" i="12"/>
  <c r="U43" i="12"/>
  <c r="W43" i="12" s="1"/>
  <c r="X42" i="12"/>
  <c r="U42" i="12"/>
  <c r="X31" i="12"/>
  <c r="U31" i="12"/>
  <c r="X30" i="12"/>
  <c r="U30" i="12"/>
  <c r="W30" i="12" s="1"/>
  <c r="X29" i="12"/>
  <c r="U29" i="12"/>
  <c r="AA11" i="12"/>
  <c r="AA10" i="12"/>
  <c r="W16" i="12" s="1"/>
  <c r="X89" i="12"/>
  <c r="U89" i="12"/>
  <c r="W89" i="12" s="1"/>
  <c r="Z89" i="12" s="1"/>
  <c r="X85" i="12"/>
  <c r="U85" i="12"/>
  <c r="W85" i="12" s="1"/>
  <c r="Z85" i="12" s="1"/>
  <c r="X84" i="12"/>
  <c r="U84" i="12"/>
  <c r="W84" i="12" s="1"/>
  <c r="Z84" i="12" s="1"/>
  <c r="U83" i="12"/>
  <c r="U82" i="12"/>
  <c r="X76" i="12"/>
  <c r="U76" i="12"/>
  <c r="W76" i="12" s="1"/>
  <c r="Z76" i="12" s="1"/>
  <c r="X72" i="12"/>
  <c r="U72" i="12"/>
  <c r="W72" i="12" s="1"/>
  <c r="Z72" i="12" s="1"/>
  <c r="X71" i="12"/>
  <c r="U71" i="12"/>
  <c r="W71" i="12" s="1"/>
  <c r="Z71" i="12" s="1"/>
  <c r="U70" i="12"/>
  <c r="U69" i="12"/>
  <c r="X63" i="12"/>
  <c r="U63" i="12"/>
  <c r="W63" i="12" s="1"/>
  <c r="Z63" i="12" s="1"/>
  <c r="D63" i="12"/>
  <c r="F62" i="12"/>
  <c r="D62" i="12"/>
  <c r="F61" i="12"/>
  <c r="D61" i="12"/>
  <c r="X59" i="12"/>
  <c r="U59" i="12"/>
  <c r="W59" i="12" s="1"/>
  <c r="Z59" i="12" s="1"/>
  <c r="D59" i="12"/>
  <c r="X58" i="12"/>
  <c r="W58" i="12"/>
  <c r="Z58" i="12" s="1"/>
  <c r="U58" i="12"/>
  <c r="D58" i="12"/>
  <c r="U57" i="12"/>
  <c r="U56" i="12"/>
  <c r="X45" i="12"/>
  <c r="U45" i="12"/>
  <c r="W45" i="12" s="1"/>
  <c r="Z45" i="12" s="1"/>
  <c r="N42" i="12"/>
  <c r="N55" i="12" s="1"/>
  <c r="X41" i="12"/>
  <c r="U41" i="12"/>
  <c r="W41" i="12" s="1"/>
  <c r="Z41" i="12" s="1"/>
  <c r="X40" i="12"/>
  <c r="U40" i="12"/>
  <c r="W40" i="12" s="1"/>
  <c r="Z40" i="12" s="1"/>
  <c r="U39" i="12"/>
  <c r="U38" i="12"/>
  <c r="K36" i="12"/>
  <c r="K35" i="12"/>
  <c r="X32" i="12"/>
  <c r="U32" i="12"/>
  <c r="W32" i="12" s="1"/>
  <c r="Z32" i="12" s="1"/>
  <c r="X28" i="12"/>
  <c r="U28" i="12"/>
  <c r="W28" i="12" s="1"/>
  <c r="Z28" i="12" s="1"/>
  <c r="X27" i="12"/>
  <c r="U27" i="12"/>
  <c r="W27" i="12" s="1"/>
  <c r="Z27" i="12" s="1"/>
  <c r="U26" i="12"/>
  <c r="U25" i="12"/>
  <c r="X19" i="12"/>
  <c r="U19" i="12"/>
  <c r="W19" i="12" s="1"/>
  <c r="Z19" i="12" s="1"/>
  <c r="D19" i="12"/>
  <c r="X18" i="12"/>
  <c r="U18" i="12"/>
  <c r="F18" i="12"/>
  <c r="D18" i="12"/>
  <c r="X17" i="12"/>
  <c r="F17" i="12"/>
  <c r="D17" i="12"/>
  <c r="X16" i="12"/>
  <c r="X15" i="12"/>
  <c r="U15" i="12"/>
  <c r="W15" i="12" s="1"/>
  <c r="Z15" i="12" s="1"/>
  <c r="D15" i="12"/>
  <c r="X14" i="12"/>
  <c r="D14" i="12"/>
  <c r="D23" i="12" s="1"/>
  <c r="U13" i="12"/>
  <c r="U12" i="12"/>
  <c r="H47" i="13" l="1"/>
  <c r="P12" i="13" s="1"/>
  <c r="H97" i="13"/>
  <c r="D91" i="12"/>
  <c r="D36" i="12"/>
  <c r="F51" i="12" s="1"/>
  <c r="F20" i="12"/>
  <c r="X21" i="12" s="1"/>
  <c r="F64" i="12"/>
  <c r="X65" i="12" s="1"/>
  <c r="AB18" i="12"/>
  <c r="F90" i="12"/>
  <c r="X91" i="12" s="1"/>
  <c r="F77" i="12"/>
  <c r="X78" i="12" s="1"/>
  <c r="F46" i="12"/>
  <c r="X47" i="12" s="1"/>
  <c r="D33" i="12"/>
  <c r="X33" i="12" s="1"/>
  <c r="F33" i="12"/>
  <c r="X34" i="12" s="1"/>
  <c r="W60" i="12"/>
  <c r="Z60" i="12" s="1"/>
  <c r="W73" i="12"/>
  <c r="W62" i="12"/>
  <c r="AB62" i="12" s="1"/>
  <c r="W75" i="12"/>
  <c r="AB75" i="12" s="1"/>
  <c r="D90" i="12"/>
  <c r="X90" i="12" s="1"/>
  <c r="D77" i="12"/>
  <c r="D46" i="12"/>
  <c r="W44" i="12"/>
  <c r="AB44" i="12" s="1"/>
  <c r="W31" i="12"/>
  <c r="AB31" i="12" s="1"/>
  <c r="AB73" i="12"/>
  <c r="AB86" i="12"/>
  <c r="W42" i="12"/>
  <c r="AB42" i="12" s="1"/>
  <c r="W29" i="12"/>
  <c r="Z29" i="12" s="1"/>
  <c r="Z74" i="12"/>
  <c r="AB61" i="12"/>
  <c r="Z61" i="12"/>
  <c r="AB87" i="12"/>
  <c r="Z87" i="12"/>
  <c r="AB88" i="12"/>
  <c r="Z88" i="12"/>
  <c r="AB43" i="12"/>
  <c r="Z43" i="12"/>
  <c r="AB30" i="12"/>
  <c r="Z30" i="12"/>
  <c r="D20" i="12"/>
  <c r="Z17" i="12"/>
  <c r="AB17" i="12"/>
  <c r="AB16" i="12"/>
  <c r="Z16" i="12"/>
  <c r="D64" i="12"/>
  <c r="A81" i="5"/>
  <c r="A19" i="5"/>
  <c r="A16" i="5"/>
  <c r="F99" i="13" l="1"/>
  <c r="L99" i="13" s="1"/>
  <c r="R12" i="13"/>
  <c r="T12" i="13" s="1"/>
  <c r="F49" i="13"/>
  <c r="L49" i="13" s="1"/>
  <c r="R11" i="13"/>
  <c r="T11" i="13" s="1"/>
  <c r="Z18" i="12"/>
  <c r="AB60" i="12"/>
  <c r="Z65" i="12" s="1"/>
  <c r="Z95" i="12" s="1"/>
  <c r="AB29" i="12"/>
  <c r="Z34" i="12" s="1"/>
  <c r="Z42" i="12"/>
  <c r="Z75" i="12"/>
  <c r="X20" i="12"/>
  <c r="D51" i="12"/>
  <c r="F94" i="12"/>
  <c r="X95" i="12" s="1"/>
  <c r="Z78" i="12"/>
  <c r="Z31" i="12"/>
  <c r="Z33" i="12" s="1"/>
  <c r="Z73" i="12"/>
  <c r="Z62" i="12"/>
  <c r="Z64" i="12" s="1"/>
  <c r="Z44" i="12"/>
  <c r="Z86" i="12"/>
  <c r="Z90" i="12" s="1"/>
  <c r="Z47" i="12"/>
  <c r="Z91" i="12"/>
  <c r="Z20" i="12"/>
  <c r="F50" i="12"/>
  <c r="X51" i="12" s="1"/>
  <c r="Z21" i="12"/>
  <c r="D94" i="12"/>
  <c r="X64" i="12"/>
  <c r="X77" i="12"/>
  <c r="X46" i="12"/>
  <c r="D50" i="12"/>
  <c r="L12" i="4"/>
  <c r="J99" i="11"/>
  <c r="H99" i="11"/>
  <c r="E95" i="11"/>
  <c r="E93" i="11"/>
  <c r="H93" i="11" s="1"/>
  <c r="E92" i="11"/>
  <c r="H92" i="11" s="1"/>
  <c r="E91" i="11"/>
  <c r="H91" i="11" s="1"/>
  <c r="E90" i="11"/>
  <c r="H90" i="11" s="1"/>
  <c r="E89" i="11"/>
  <c r="H89" i="11" s="1"/>
  <c r="E88" i="11"/>
  <c r="H88" i="11" s="1"/>
  <c r="H95" i="11" s="1"/>
  <c r="E83" i="11"/>
  <c r="E81" i="11"/>
  <c r="H81" i="11" s="1"/>
  <c r="E80" i="11"/>
  <c r="H80" i="11" s="1"/>
  <c r="E79" i="11"/>
  <c r="H79" i="11" s="1"/>
  <c r="E78" i="11"/>
  <c r="H78" i="11" s="1"/>
  <c r="E77" i="11"/>
  <c r="H77" i="11" s="1"/>
  <c r="E76" i="11"/>
  <c r="H76" i="11" s="1"/>
  <c r="H83" i="11" s="1"/>
  <c r="E71" i="11"/>
  <c r="E69" i="11"/>
  <c r="H69" i="11" s="1"/>
  <c r="E68" i="11"/>
  <c r="H68" i="11" s="1"/>
  <c r="E67" i="11"/>
  <c r="H67" i="11" s="1"/>
  <c r="E66" i="11"/>
  <c r="H66" i="11" s="1"/>
  <c r="E65" i="11"/>
  <c r="H65" i="11" s="1"/>
  <c r="E64" i="11"/>
  <c r="H64" i="11" s="1"/>
  <c r="J49" i="11"/>
  <c r="H49" i="11"/>
  <c r="E45" i="11"/>
  <c r="H43" i="11"/>
  <c r="E43" i="11"/>
  <c r="H42" i="11"/>
  <c r="E42" i="11"/>
  <c r="E41" i="11"/>
  <c r="H41" i="11" s="1"/>
  <c r="E40" i="11"/>
  <c r="H40" i="11" s="1"/>
  <c r="H39" i="11"/>
  <c r="H45" i="11" s="1"/>
  <c r="E39" i="11"/>
  <c r="H38" i="11"/>
  <c r="E38" i="11"/>
  <c r="E33" i="11"/>
  <c r="E31" i="11"/>
  <c r="H31" i="11" s="1"/>
  <c r="H30" i="11"/>
  <c r="E30" i="11"/>
  <c r="H29" i="11"/>
  <c r="E29" i="11"/>
  <c r="E28" i="11"/>
  <c r="H28" i="11" s="1"/>
  <c r="E27" i="11"/>
  <c r="H27" i="11" s="1"/>
  <c r="H26" i="11"/>
  <c r="E26" i="11"/>
  <c r="E21" i="11"/>
  <c r="E19" i="11"/>
  <c r="H19" i="11" s="1"/>
  <c r="E18" i="11"/>
  <c r="H18" i="11" s="1"/>
  <c r="E17" i="11"/>
  <c r="H17" i="11" s="1"/>
  <c r="E16" i="11"/>
  <c r="H16" i="11" s="1"/>
  <c r="E15" i="11"/>
  <c r="H15" i="11" s="1"/>
  <c r="E14" i="11"/>
  <c r="H14" i="11" s="1"/>
  <c r="R11" i="11"/>
  <c r="P11" i="11"/>
  <c r="Z77" i="12" l="1"/>
  <c r="Z94" i="12" s="1"/>
  <c r="Z79" i="12" s="1"/>
  <c r="Z46" i="12"/>
  <c r="Z50" i="12" s="1"/>
  <c r="Z48" i="12" s="1"/>
  <c r="N12" i="12"/>
  <c r="Z51" i="12"/>
  <c r="L12" i="12"/>
  <c r="X94" i="12"/>
  <c r="X50" i="12"/>
  <c r="T11" i="11"/>
  <c r="H21" i="11"/>
  <c r="H47" i="11" s="1"/>
  <c r="H71" i="11"/>
  <c r="H97" i="11" s="1"/>
  <c r="H33" i="11"/>
  <c r="D14" i="4"/>
  <c r="D15" i="4"/>
  <c r="D16" i="4"/>
  <c r="D17" i="4"/>
  <c r="D18" i="4"/>
  <c r="D19" i="4"/>
  <c r="P12" i="12" l="1"/>
  <c r="Z92" i="12"/>
  <c r="Z66" i="12"/>
  <c r="Z35" i="12"/>
  <c r="Z22" i="12"/>
  <c r="F99" i="11"/>
  <c r="L99" i="11" s="1"/>
  <c r="R12" i="11"/>
  <c r="F49" i="11"/>
  <c r="L49" i="11" s="1"/>
  <c r="P12" i="11"/>
  <c r="X89" i="10"/>
  <c r="W89" i="10"/>
  <c r="Z89" i="10" s="1"/>
  <c r="U89" i="10"/>
  <c r="D89" i="10"/>
  <c r="X88" i="10"/>
  <c r="U88" i="10"/>
  <c r="W88" i="10" s="1"/>
  <c r="F88" i="10"/>
  <c r="D88" i="10"/>
  <c r="X87" i="10"/>
  <c r="U87" i="10"/>
  <c r="W87" i="10" s="1"/>
  <c r="F87" i="10"/>
  <c r="D87" i="10"/>
  <c r="X86" i="10"/>
  <c r="W86" i="10"/>
  <c r="AB86" i="10" s="1"/>
  <c r="U86" i="10"/>
  <c r="F86" i="10"/>
  <c r="D86" i="10"/>
  <c r="X85" i="10"/>
  <c r="U85" i="10"/>
  <c r="W85" i="10" s="1"/>
  <c r="Z85" i="10" s="1"/>
  <c r="D85" i="10"/>
  <c r="F90" i="10" s="1"/>
  <c r="X91" i="10" s="1"/>
  <c r="X84" i="10"/>
  <c r="U84" i="10"/>
  <c r="W84" i="10" s="1"/>
  <c r="Z84" i="10" s="1"/>
  <c r="D84" i="10"/>
  <c r="D90" i="10" s="1"/>
  <c r="U83" i="10"/>
  <c r="U82" i="10"/>
  <c r="X76" i="10"/>
  <c r="U76" i="10"/>
  <c r="W76" i="10" s="1"/>
  <c r="Z76" i="10" s="1"/>
  <c r="D76" i="10"/>
  <c r="X75" i="10"/>
  <c r="W75" i="10"/>
  <c r="AB75" i="10" s="1"/>
  <c r="U75" i="10"/>
  <c r="F75" i="10"/>
  <c r="D75" i="10"/>
  <c r="X74" i="10"/>
  <c r="U74" i="10"/>
  <c r="W74" i="10" s="1"/>
  <c r="F74" i="10"/>
  <c r="D74" i="10"/>
  <c r="X73" i="10"/>
  <c r="U73" i="10"/>
  <c r="W73" i="10" s="1"/>
  <c r="F73" i="10"/>
  <c r="D73" i="10"/>
  <c r="X72" i="10"/>
  <c r="W72" i="10"/>
  <c r="Z72" i="10" s="1"/>
  <c r="U72" i="10"/>
  <c r="D72" i="10"/>
  <c r="X71" i="10"/>
  <c r="U71" i="10"/>
  <c r="W71" i="10" s="1"/>
  <c r="Z71" i="10" s="1"/>
  <c r="D71" i="10"/>
  <c r="U70" i="10"/>
  <c r="U69" i="10"/>
  <c r="X63" i="10"/>
  <c r="U63" i="10"/>
  <c r="W63" i="10" s="1"/>
  <c r="Z63" i="10" s="1"/>
  <c r="D63" i="10"/>
  <c r="X62" i="10"/>
  <c r="U62" i="10"/>
  <c r="W62" i="10" s="1"/>
  <c r="F62" i="10"/>
  <c r="D62" i="10"/>
  <c r="X61" i="10"/>
  <c r="U61" i="10"/>
  <c r="W61" i="10" s="1"/>
  <c r="F61" i="10"/>
  <c r="D61" i="10"/>
  <c r="X60" i="10"/>
  <c r="U60" i="10"/>
  <c r="W60" i="10" s="1"/>
  <c r="AB60" i="10" s="1"/>
  <c r="F60" i="10"/>
  <c r="D60" i="10"/>
  <c r="X59" i="10"/>
  <c r="U59" i="10"/>
  <c r="W59" i="10" s="1"/>
  <c r="Z59" i="10" s="1"/>
  <c r="D59" i="10"/>
  <c r="X58" i="10"/>
  <c r="U58" i="10"/>
  <c r="W58" i="10" s="1"/>
  <c r="Z58" i="10" s="1"/>
  <c r="D58" i="10"/>
  <c r="U57" i="10"/>
  <c r="U56" i="10"/>
  <c r="X45" i="10"/>
  <c r="W45" i="10"/>
  <c r="Z45" i="10" s="1"/>
  <c r="U45" i="10"/>
  <c r="D45" i="10"/>
  <c r="X44" i="10"/>
  <c r="U44" i="10"/>
  <c r="W44" i="10" s="1"/>
  <c r="F44" i="10"/>
  <c r="D44" i="10"/>
  <c r="X43" i="10"/>
  <c r="U43" i="10"/>
  <c r="W43" i="10" s="1"/>
  <c r="F43" i="10"/>
  <c r="D43" i="10"/>
  <c r="X42" i="10"/>
  <c r="W42" i="10"/>
  <c r="AB42" i="10" s="1"/>
  <c r="U42" i="10"/>
  <c r="N42" i="10"/>
  <c r="F42" i="10"/>
  <c r="D42" i="10"/>
  <c r="X41" i="10"/>
  <c r="U41" i="10"/>
  <c r="W41" i="10" s="1"/>
  <c r="Z41" i="10" s="1"/>
  <c r="N41" i="10"/>
  <c r="D41" i="10"/>
  <c r="F46" i="10" s="1"/>
  <c r="X47" i="10" s="1"/>
  <c r="X40" i="10"/>
  <c r="U40" i="10"/>
  <c r="W40" i="10" s="1"/>
  <c r="Z40" i="10" s="1"/>
  <c r="D40" i="10"/>
  <c r="D46" i="10" s="1"/>
  <c r="U39" i="10"/>
  <c r="U38" i="10"/>
  <c r="K36" i="10"/>
  <c r="K35" i="10"/>
  <c r="D33" i="10"/>
  <c r="X32" i="10"/>
  <c r="U32" i="10"/>
  <c r="W32" i="10" s="1"/>
  <c r="Z32" i="10" s="1"/>
  <c r="D32" i="10"/>
  <c r="X31" i="10"/>
  <c r="W31" i="10"/>
  <c r="Z31" i="10" s="1"/>
  <c r="U31" i="10"/>
  <c r="F31" i="10"/>
  <c r="D31" i="10"/>
  <c r="X30" i="10"/>
  <c r="U30" i="10"/>
  <c r="W30" i="10" s="1"/>
  <c r="F30" i="10"/>
  <c r="D30" i="10"/>
  <c r="X29" i="10"/>
  <c r="U29" i="10"/>
  <c r="W29" i="10" s="1"/>
  <c r="F29" i="10"/>
  <c r="D29" i="10"/>
  <c r="X28" i="10"/>
  <c r="W28" i="10"/>
  <c r="Z28" i="10" s="1"/>
  <c r="U28" i="10"/>
  <c r="D28" i="10"/>
  <c r="F33" i="10" s="1"/>
  <c r="X34" i="10" s="1"/>
  <c r="X27" i="10"/>
  <c r="U27" i="10"/>
  <c r="W27" i="10" s="1"/>
  <c r="Z27" i="10" s="1"/>
  <c r="D27" i="10"/>
  <c r="U26" i="10"/>
  <c r="U25" i="10"/>
  <c r="X19" i="10"/>
  <c r="U19" i="10"/>
  <c r="W19" i="10" s="1"/>
  <c r="Z19" i="10" s="1"/>
  <c r="D19" i="10"/>
  <c r="X18" i="10"/>
  <c r="U18" i="10"/>
  <c r="W18" i="10" s="1"/>
  <c r="F18" i="10"/>
  <c r="D18" i="10"/>
  <c r="X17" i="10"/>
  <c r="U17" i="10"/>
  <c r="W17" i="10" s="1"/>
  <c r="F17" i="10"/>
  <c r="D17" i="10"/>
  <c r="X16" i="10"/>
  <c r="U16" i="10"/>
  <c r="W16" i="10" s="1"/>
  <c r="AB16" i="10" s="1"/>
  <c r="F16" i="10"/>
  <c r="D16" i="10"/>
  <c r="X15" i="10"/>
  <c r="U15" i="10"/>
  <c r="W15" i="10" s="1"/>
  <c r="Z15" i="10" s="1"/>
  <c r="D15" i="10"/>
  <c r="X14" i="10"/>
  <c r="U14" i="10"/>
  <c r="W14" i="10" s="1"/>
  <c r="Z14" i="10" s="1"/>
  <c r="D14" i="10"/>
  <c r="U13" i="10"/>
  <c r="U12" i="10"/>
  <c r="X89" i="9"/>
  <c r="W89" i="9"/>
  <c r="Z89" i="9" s="1"/>
  <c r="U89" i="9"/>
  <c r="D89" i="9"/>
  <c r="X88" i="9"/>
  <c r="U88" i="9"/>
  <c r="W88" i="9" s="1"/>
  <c r="F88" i="9"/>
  <c r="D88" i="9"/>
  <c r="X87" i="9"/>
  <c r="U87" i="9"/>
  <c r="W87" i="9" s="1"/>
  <c r="F87" i="9"/>
  <c r="D87" i="9"/>
  <c r="X86" i="9"/>
  <c r="W86" i="9"/>
  <c r="AB86" i="9" s="1"/>
  <c r="U86" i="9"/>
  <c r="F86" i="9"/>
  <c r="D86" i="9"/>
  <c r="X85" i="9"/>
  <c r="W85" i="9"/>
  <c r="Z85" i="9" s="1"/>
  <c r="U85" i="9"/>
  <c r="D85" i="9"/>
  <c r="F90" i="9" s="1"/>
  <c r="X91" i="9" s="1"/>
  <c r="X84" i="9"/>
  <c r="U84" i="9"/>
  <c r="W84" i="9" s="1"/>
  <c r="Z84" i="9" s="1"/>
  <c r="D84" i="9"/>
  <c r="D90" i="9" s="1"/>
  <c r="U83" i="9"/>
  <c r="U82" i="9"/>
  <c r="X76" i="9"/>
  <c r="U76" i="9"/>
  <c r="W76" i="9" s="1"/>
  <c r="Z76" i="9" s="1"/>
  <c r="D76" i="9"/>
  <c r="X75" i="9"/>
  <c r="U75" i="9"/>
  <c r="W75" i="9" s="1"/>
  <c r="AB75" i="9" s="1"/>
  <c r="F75" i="9"/>
  <c r="D75" i="9"/>
  <c r="X74" i="9"/>
  <c r="U74" i="9"/>
  <c r="W74" i="9" s="1"/>
  <c r="F74" i="9"/>
  <c r="D74" i="9"/>
  <c r="X73" i="9"/>
  <c r="U73" i="9"/>
  <c r="W73" i="9" s="1"/>
  <c r="F73" i="9"/>
  <c r="D73" i="9"/>
  <c r="X72" i="9"/>
  <c r="U72" i="9"/>
  <c r="W72" i="9" s="1"/>
  <c r="Z72" i="9" s="1"/>
  <c r="D72" i="9"/>
  <c r="X71" i="9"/>
  <c r="U71" i="9"/>
  <c r="W71" i="9" s="1"/>
  <c r="Z71" i="9" s="1"/>
  <c r="D71" i="9"/>
  <c r="U70" i="9"/>
  <c r="U69" i="9"/>
  <c r="X63" i="9"/>
  <c r="U63" i="9"/>
  <c r="W63" i="9" s="1"/>
  <c r="Z63" i="9" s="1"/>
  <c r="D63" i="9"/>
  <c r="X62" i="9"/>
  <c r="U62" i="9"/>
  <c r="W62" i="9" s="1"/>
  <c r="F62" i="9"/>
  <c r="D62" i="9"/>
  <c r="X61" i="9"/>
  <c r="U61" i="9"/>
  <c r="W61" i="9" s="1"/>
  <c r="F61" i="9"/>
  <c r="D61" i="9"/>
  <c r="X60" i="9"/>
  <c r="U60" i="9"/>
  <c r="W60" i="9" s="1"/>
  <c r="AB60" i="9" s="1"/>
  <c r="F60" i="9"/>
  <c r="D60" i="9"/>
  <c r="X59" i="9"/>
  <c r="U59" i="9"/>
  <c r="W59" i="9" s="1"/>
  <c r="Z59" i="9" s="1"/>
  <c r="D59" i="9"/>
  <c r="X58" i="9"/>
  <c r="U58" i="9"/>
  <c r="W58" i="9" s="1"/>
  <c r="Z58" i="9" s="1"/>
  <c r="D58" i="9"/>
  <c r="U57" i="9"/>
  <c r="U56" i="9"/>
  <c r="X45" i="9"/>
  <c r="W45" i="9"/>
  <c r="Z45" i="9" s="1"/>
  <c r="U45" i="9"/>
  <c r="D45" i="9"/>
  <c r="X44" i="9"/>
  <c r="U44" i="9"/>
  <c r="W44" i="9" s="1"/>
  <c r="F44" i="9"/>
  <c r="D44" i="9"/>
  <c r="X43" i="9"/>
  <c r="U43" i="9"/>
  <c r="W43" i="9" s="1"/>
  <c r="F43" i="9"/>
  <c r="D43" i="9"/>
  <c r="X42" i="9"/>
  <c r="W42" i="9"/>
  <c r="AB42" i="9" s="1"/>
  <c r="U42" i="9"/>
  <c r="N42" i="9"/>
  <c r="F42" i="9"/>
  <c r="D42" i="9"/>
  <c r="X41" i="9"/>
  <c r="U41" i="9"/>
  <c r="W41" i="9" s="1"/>
  <c r="Z41" i="9" s="1"/>
  <c r="N41" i="9"/>
  <c r="D41" i="9"/>
  <c r="F46" i="9" s="1"/>
  <c r="X47" i="9" s="1"/>
  <c r="X40" i="9"/>
  <c r="U40" i="9"/>
  <c r="W40" i="9" s="1"/>
  <c r="Z40" i="9" s="1"/>
  <c r="D40" i="9"/>
  <c r="D46" i="9" s="1"/>
  <c r="U39" i="9"/>
  <c r="U38" i="9"/>
  <c r="K36" i="9"/>
  <c r="K35" i="9"/>
  <c r="D33" i="9"/>
  <c r="X32" i="9"/>
  <c r="W32" i="9"/>
  <c r="Z32" i="9" s="1"/>
  <c r="U32" i="9"/>
  <c r="D32" i="9"/>
  <c r="X31" i="9"/>
  <c r="W31" i="9"/>
  <c r="AB31" i="9" s="1"/>
  <c r="U31" i="9"/>
  <c r="F31" i="9"/>
  <c r="D31" i="9"/>
  <c r="X30" i="9"/>
  <c r="U30" i="9"/>
  <c r="W30" i="9" s="1"/>
  <c r="F30" i="9"/>
  <c r="D30" i="9"/>
  <c r="X29" i="9"/>
  <c r="U29" i="9"/>
  <c r="W29" i="9" s="1"/>
  <c r="F29" i="9"/>
  <c r="D29" i="9"/>
  <c r="X28" i="9"/>
  <c r="W28" i="9"/>
  <c r="Z28" i="9" s="1"/>
  <c r="U28" i="9"/>
  <c r="D28" i="9"/>
  <c r="F33" i="9" s="1"/>
  <c r="X34" i="9" s="1"/>
  <c r="X27" i="9"/>
  <c r="U27" i="9"/>
  <c r="W27" i="9" s="1"/>
  <c r="Z27" i="9" s="1"/>
  <c r="D27" i="9"/>
  <c r="U26" i="9"/>
  <c r="U25" i="9"/>
  <c r="X19" i="9"/>
  <c r="U19" i="9"/>
  <c r="W19" i="9" s="1"/>
  <c r="Z19" i="9" s="1"/>
  <c r="D19" i="9"/>
  <c r="X18" i="9"/>
  <c r="U18" i="9"/>
  <c r="W18" i="9" s="1"/>
  <c r="F18" i="9"/>
  <c r="D18" i="9"/>
  <c r="X17" i="9"/>
  <c r="U17" i="9"/>
  <c r="W17" i="9" s="1"/>
  <c r="F17" i="9"/>
  <c r="D17" i="9"/>
  <c r="X16" i="9"/>
  <c r="U16" i="9"/>
  <c r="W16" i="9" s="1"/>
  <c r="F16" i="9"/>
  <c r="D16" i="9"/>
  <c r="X15" i="9"/>
  <c r="U15" i="9"/>
  <c r="W15" i="9" s="1"/>
  <c r="Z15" i="9" s="1"/>
  <c r="D15" i="9"/>
  <c r="X14" i="9"/>
  <c r="U14" i="9"/>
  <c r="W14" i="9" s="1"/>
  <c r="Z14" i="9" s="1"/>
  <c r="D14" i="9"/>
  <c r="U13" i="9"/>
  <c r="U12" i="9"/>
  <c r="Q12" i="12" l="1"/>
  <c r="R12" i="12"/>
  <c r="T12" i="11"/>
  <c r="D64" i="10"/>
  <c r="D94" i="10" s="1"/>
  <c r="X94" i="10" s="1"/>
  <c r="Z73" i="9"/>
  <c r="AB73" i="9"/>
  <c r="F77" i="9"/>
  <c r="X78" i="9" s="1"/>
  <c r="AB62" i="9"/>
  <c r="Z62" i="9"/>
  <c r="D64" i="9"/>
  <c r="X64" i="9" s="1"/>
  <c r="F77" i="10"/>
  <c r="X78" i="10" s="1"/>
  <c r="F20" i="10"/>
  <c r="F50" i="10" s="1"/>
  <c r="F20" i="9"/>
  <c r="X21" i="9" s="1"/>
  <c r="Z18" i="10"/>
  <c r="AB18" i="10"/>
  <c r="AB62" i="10"/>
  <c r="Z62" i="10"/>
  <c r="AB29" i="10"/>
  <c r="Z29" i="10"/>
  <c r="Z33" i="10" s="1"/>
  <c r="AB73" i="10"/>
  <c r="Z78" i="10" s="1"/>
  <c r="Z73" i="10"/>
  <c r="Z77" i="10" s="1"/>
  <c r="X90" i="10"/>
  <c r="AB88" i="10"/>
  <c r="Z88" i="10"/>
  <c r="AB43" i="10"/>
  <c r="Z43" i="10"/>
  <c r="Z61" i="10"/>
  <c r="Z64" i="10" s="1"/>
  <c r="AB61" i="10"/>
  <c r="AB17" i="10"/>
  <c r="Z17" i="10"/>
  <c r="X46" i="10"/>
  <c r="AB30" i="10"/>
  <c r="Z30" i="10"/>
  <c r="Z74" i="10"/>
  <c r="AB74" i="10"/>
  <c r="Z44" i="10"/>
  <c r="AB44" i="10"/>
  <c r="AB87" i="10"/>
  <c r="Z91" i="10" s="1"/>
  <c r="Z87" i="10"/>
  <c r="Z60" i="10"/>
  <c r="D20" i="10"/>
  <c r="AB31" i="10"/>
  <c r="X33" i="10"/>
  <c r="F64" i="10"/>
  <c r="D77" i="10"/>
  <c r="Z16" i="10"/>
  <c r="Z42" i="10"/>
  <c r="Z75" i="10"/>
  <c r="Z86" i="10"/>
  <c r="Z90" i="10" s="1"/>
  <c r="AB16" i="9"/>
  <c r="Z16" i="9"/>
  <c r="Z44" i="9"/>
  <c r="AB44" i="9"/>
  <c r="AB88" i="9"/>
  <c r="Z88" i="9"/>
  <c r="AB30" i="9"/>
  <c r="Z30" i="9"/>
  <c r="AB43" i="9"/>
  <c r="Z43" i="9"/>
  <c r="Z74" i="9"/>
  <c r="AB74" i="9"/>
  <c r="Z29" i="9"/>
  <c r="AB29" i="9"/>
  <c r="Z34" i="9" s="1"/>
  <c r="X90" i="9"/>
  <c r="AB17" i="9"/>
  <c r="Z17" i="9"/>
  <c r="X46" i="9"/>
  <c r="Z61" i="9"/>
  <c r="AB61" i="9"/>
  <c r="AB18" i="9"/>
  <c r="Z18" i="9"/>
  <c r="AB87" i="9"/>
  <c r="Z91" i="9" s="1"/>
  <c r="Z87" i="9"/>
  <c r="Z31" i="9"/>
  <c r="Z60" i="9"/>
  <c r="D20" i="9"/>
  <c r="X33" i="9"/>
  <c r="D77" i="9"/>
  <c r="Z42" i="9"/>
  <c r="Z75" i="9"/>
  <c r="Z86" i="9"/>
  <c r="F64" i="9"/>
  <c r="H92" i="6"/>
  <c r="H80" i="6"/>
  <c r="H42" i="6"/>
  <c r="H30" i="6"/>
  <c r="H92" i="5"/>
  <c r="H42" i="5"/>
  <c r="Z46" i="10" l="1"/>
  <c r="Z34" i="10"/>
  <c r="Z47" i="10"/>
  <c r="F50" i="9"/>
  <c r="X51" i="9" s="1"/>
  <c r="Z33" i="9"/>
  <c r="Z46" i="9"/>
  <c r="Z90" i="9"/>
  <c r="Z78" i="9"/>
  <c r="Z47" i="9"/>
  <c r="X21" i="10"/>
  <c r="Z65" i="10"/>
  <c r="Z95" i="10" s="1"/>
  <c r="X64" i="10"/>
  <c r="Z77" i="9"/>
  <c r="Z65" i="9"/>
  <c r="Z64" i="9"/>
  <c r="Z20" i="10"/>
  <c r="Z21" i="10"/>
  <c r="Z21" i="9"/>
  <c r="Z20" i="9"/>
  <c r="Z94" i="10"/>
  <c r="Z92" i="10" s="1"/>
  <c r="X77" i="10"/>
  <c r="D79" i="10"/>
  <c r="F94" i="10"/>
  <c r="X95" i="10" s="1"/>
  <c r="X65" i="10"/>
  <c r="D66" i="10"/>
  <c r="X20" i="10"/>
  <c r="D50" i="10"/>
  <c r="D92" i="10"/>
  <c r="X51" i="10"/>
  <c r="X77" i="9"/>
  <c r="X20" i="9"/>
  <c r="D50" i="9"/>
  <c r="F94" i="9"/>
  <c r="X95" i="9" s="1"/>
  <c r="X65" i="9"/>
  <c r="D94" i="9"/>
  <c r="D79" i="9" s="1"/>
  <c r="J49" i="6"/>
  <c r="Z51" i="10" l="1"/>
  <c r="Z50" i="10"/>
  <c r="Z48" i="10" s="1"/>
  <c r="Z51" i="9"/>
  <c r="Z50" i="9"/>
  <c r="Z22" i="9" s="1"/>
  <c r="Z94" i="9"/>
  <c r="Z79" i="9" s="1"/>
  <c r="Z95" i="9"/>
  <c r="N12" i="10"/>
  <c r="L12" i="10"/>
  <c r="Z79" i="10"/>
  <c r="Z66" i="10"/>
  <c r="X50" i="10"/>
  <c r="D35" i="10"/>
  <c r="D48" i="10"/>
  <c r="D22" i="10"/>
  <c r="N12" i="9"/>
  <c r="L12" i="9"/>
  <c r="X50" i="9"/>
  <c r="D35" i="9"/>
  <c r="D48" i="9"/>
  <c r="X94" i="9"/>
  <c r="D66" i="9"/>
  <c r="D92" i="9"/>
  <c r="D22" i="9"/>
  <c r="H49" i="6"/>
  <c r="H99" i="6"/>
  <c r="D90" i="8"/>
  <c r="X90" i="8" s="1"/>
  <c r="Z89" i="8"/>
  <c r="X89" i="8"/>
  <c r="W89" i="8"/>
  <c r="U89" i="8"/>
  <c r="D89" i="8"/>
  <c r="X88" i="8"/>
  <c r="W88" i="8"/>
  <c r="AB88" i="8" s="1"/>
  <c r="U88" i="8"/>
  <c r="F88" i="8"/>
  <c r="D88" i="8"/>
  <c r="X87" i="8"/>
  <c r="U87" i="8"/>
  <c r="W87" i="8" s="1"/>
  <c r="F87" i="8"/>
  <c r="D87" i="8"/>
  <c r="X86" i="8"/>
  <c r="U86" i="8"/>
  <c r="W86" i="8" s="1"/>
  <c r="F86" i="8"/>
  <c r="D86" i="8"/>
  <c r="X85" i="8"/>
  <c r="U85" i="8"/>
  <c r="W85" i="8" s="1"/>
  <c r="Z85" i="8" s="1"/>
  <c r="D85" i="8"/>
  <c r="F90" i="8" s="1"/>
  <c r="X91" i="8" s="1"/>
  <c r="Z84" i="8"/>
  <c r="X84" i="8"/>
  <c r="W84" i="8"/>
  <c r="U84" i="8"/>
  <c r="D84" i="8"/>
  <c r="U83" i="8"/>
  <c r="U82" i="8"/>
  <c r="X76" i="8"/>
  <c r="W76" i="8"/>
  <c r="Z76" i="8" s="1"/>
  <c r="U76" i="8"/>
  <c r="D76" i="8"/>
  <c r="X75" i="8"/>
  <c r="U75" i="8"/>
  <c r="W75" i="8" s="1"/>
  <c r="F75" i="8"/>
  <c r="D75" i="8"/>
  <c r="X74" i="8"/>
  <c r="U74" i="8"/>
  <c r="W74" i="8" s="1"/>
  <c r="F74" i="8"/>
  <c r="D74" i="8"/>
  <c r="X73" i="8"/>
  <c r="U73" i="8"/>
  <c r="W73" i="8" s="1"/>
  <c r="F73" i="8"/>
  <c r="D73" i="8"/>
  <c r="D77" i="8" s="1"/>
  <c r="Z72" i="8"/>
  <c r="X72" i="8"/>
  <c r="W72" i="8"/>
  <c r="U72" i="8"/>
  <c r="D72" i="8"/>
  <c r="X71" i="8"/>
  <c r="U71" i="8"/>
  <c r="W71" i="8" s="1"/>
  <c r="Z71" i="8" s="1"/>
  <c r="D71" i="8"/>
  <c r="F77" i="8" s="1"/>
  <c r="X78" i="8" s="1"/>
  <c r="U70" i="8"/>
  <c r="U69" i="8"/>
  <c r="X63" i="8"/>
  <c r="U63" i="8"/>
  <c r="W63" i="8" s="1"/>
  <c r="Z63" i="8" s="1"/>
  <c r="D63" i="8"/>
  <c r="X62" i="8"/>
  <c r="U62" i="8"/>
  <c r="W62" i="8" s="1"/>
  <c r="F62" i="8"/>
  <c r="D62" i="8"/>
  <c r="X61" i="8"/>
  <c r="U61" i="8"/>
  <c r="W61" i="8" s="1"/>
  <c r="F61" i="8"/>
  <c r="D61" i="8"/>
  <c r="X60" i="8"/>
  <c r="U60" i="8"/>
  <c r="W60" i="8" s="1"/>
  <c r="F60" i="8"/>
  <c r="D60" i="8"/>
  <c r="X59" i="8"/>
  <c r="U59" i="8"/>
  <c r="W59" i="8" s="1"/>
  <c r="Z59" i="8" s="1"/>
  <c r="D59" i="8"/>
  <c r="X58" i="8"/>
  <c r="U58" i="8"/>
  <c r="W58" i="8" s="1"/>
  <c r="Z58" i="8" s="1"/>
  <c r="D58" i="8"/>
  <c r="U57" i="8"/>
  <c r="U56" i="8"/>
  <c r="X45" i="8"/>
  <c r="U45" i="8"/>
  <c r="W45" i="8" s="1"/>
  <c r="Z45" i="8" s="1"/>
  <c r="D45" i="8"/>
  <c r="X44" i="8"/>
  <c r="W44" i="8"/>
  <c r="Z44" i="8" s="1"/>
  <c r="U44" i="8"/>
  <c r="F44" i="8"/>
  <c r="D44" i="8"/>
  <c r="X43" i="8"/>
  <c r="U43" i="8"/>
  <c r="W43" i="8" s="1"/>
  <c r="F43" i="8"/>
  <c r="D43" i="8"/>
  <c r="X42" i="8"/>
  <c r="U42" i="8"/>
  <c r="W42" i="8" s="1"/>
  <c r="N42" i="8"/>
  <c r="F42" i="8"/>
  <c r="D42" i="8"/>
  <c r="X41" i="8"/>
  <c r="U41" i="8"/>
  <c r="W41" i="8" s="1"/>
  <c r="Z41" i="8" s="1"/>
  <c r="N41" i="8"/>
  <c r="D41" i="8"/>
  <c r="D46" i="8" s="1"/>
  <c r="X40" i="8"/>
  <c r="W40" i="8"/>
  <c r="Z40" i="8" s="1"/>
  <c r="U40" i="8"/>
  <c r="D40" i="8"/>
  <c r="U39" i="8"/>
  <c r="U38" i="8"/>
  <c r="K36" i="8"/>
  <c r="K35" i="8"/>
  <c r="X32" i="8"/>
  <c r="U32" i="8"/>
  <c r="W32" i="8" s="1"/>
  <c r="Z32" i="8" s="1"/>
  <c r="D32" i="8"/>
  <c r="X31" i="8"/>
  <c r="W31" i="8"/>
  <c r="Z31" i="8" s="1"/>
  <c r="U31" i="8"/>
  <c r="F31" i="8"/>
  <c r="D31" i="8"/>
  <c r="X30" i="8"/>
  <c r="W30" i="8"/>
  <c r="Z30" i="8" s="1"/>
  <c r="U30" i="8"/>
  <c r="F30" i="8"/>
  <c r="D30" i="8"/>
  <c r="X29" i="8"/>
  <c r="W29" i="8"/>
  <c r="AB29" i="8" s="1"/>
  <c r="U29" i="8"/>
  <c r="F29" i="8"/>
  <c r="D29" i="8"/>
  <c r="X28" i="8"/>
  <c r="U28" i="8"/>
  <c r="W28" i="8" s="1"/>
  <c r="Z28" i="8" s="1"/>
  <c r="D28" i="8"/>
  <c r="F33" i="8" s="1"/>
  <c r="X34" i="8" s="1"/>
  <c r="X27" i="8"/>
  <c r="W27" i="8"/>
  <c r="Z27" i="8" s="1"/>
  <c r="U27" i="8"/>
  <c r="D27" i="8"/>
  <c r="D33" i="8" s="1"/>
  <c r="U26" i="8"/>
  <c r="U25" i="8"/>
  <c r="X19" i="8"/>
  <c r="U19" i="8"/>
  <c r="W19" i="8" s="1"/>
  <c r="Z19" i="8" s="1"/>
  <c r="D19" i="8"/>
  <c r="X18" i="8"/>
  <c r="U18" i="8"/>
  <c r="W18" i="8" s="1"/>
  <c r="AB18" i="8" s="1"/>
  <c r="F18" i="8"/>
  <c r="D18" i="8"/>
  <c r="X17" i="8"/>
  <c r="U17" i="8"/>
  <c r="W17" i="8" s="1"/>
  <c r="F17" i="8"/>
  <c r="D17" i="8"/>
  <c r="X16" i="8"/>
  <c r="U16" i="8"/>
  <c r="W16" i="8" s="1"/>
  <c r="F16" i="8"/>
  <c r="D16" i="8"/>
  <c r="X15" i="8"/>
  <c r="U15" i="8"/>
  <c r="W15" i="8" s="1"/>
  <c r="Z15" i="8" s="1"/>
  <c r="D15" i="8"/>
  <c r="X14" i="8"/>
  <c r="U14" i="8"/>
  <c r="W14" i="8" s="1"/>
  <c r="Z14" i="8" s="1"/>
  <c r="D14" i="8"/>
  <c r="U13" i="8"/>
  <c r="U12" i="8"/>
  <c r="Z35" i="10" l="1"/>
  <c r="Z22" i="10"/>
  <c r="AB30" i="8"/>
  <c r="AB31" i="8"/>
  <c r="Z66" i="9"/>
  <c r="Z35" i="9"/>
  <c r="Z48" i="9"/>
  <c r="Z92" i="9"/>
  <c r="P12" i="10"/>
  <c r="S12" i="10" s="1"/>
  <c r="P12" i="9"/>
  <c r="S12" i="9" s="1"/>
  <c r="AB61" i="8"/>
  <c r="Z61" i="8"/>
  <c r="F64" i="8"/>
  <c r="X65" i="8" s="1"/>
  <c r="F20" i="8"/>
  <c r="X21" i="8" s="1"/>
  <c r="D20" i="8"/>
  <c r="X20" i="8" s="1"/>
  <c r="AB60" i="8"/>
  <c r="Z60" i="8"/>
  <c r="AB42" i="8"/>
  <c r="Z42" i="8"/>
  <c r="X33" i="8"/>
  <c r="Z17" i="8"/>
  <c r="AB17" i="8"/>
  <c r="X77" i="8"/>
  <c r="Z62" i="8"/>
  <c r="AB62" i="8"/>
  <c r="Z73" i="8"/>
  <c r="AB73" i="8"/>
  <c r="AB75" i="8"/>
  <c r="Z75" i="8"/>
  <c r="AB87" i="8"/>
  <c r="Z87" i="8"/>
  <c r="AB43" i="8"/>
  <c r="Z43" i="8"/>
  <c r="X46" i="8"/>
  <c r="AB74" i="8"/>
  <c r="Z74" i="8"/>
  <c r="Z77" i="8" s="1"/>
  <c r="AB16" i="8"/>
  <c r="Z16" i="8"/>
  <c r="AB86" i="8"/>
  <c r="Z91" i="8" s="1"/>
  <c r="Z86" i="8"/>
  <c r="F46" i="8"/>
  <c r="X47" i="8" s="1"/>
  <c r="Z88" i="8"/>
  <c r="Z90" i="8" s="1"/>
  <c r="Z18" i="8"/>
  <c r="Z29" i="8"/>
  <c r="Z33" i="8" s="1"/>
  <c r="AB44" i="8"/>
  <c r="D64" i="8"/>
  <c r="X89" i="7"/>
  <c r="U89" i="7"/>
  <c r="W89" i="7" s="1"/>
  <c r="Z89" i="7" s="1"/>
  <c r="D89" i="7"/>
  <c r="X88" i="7"/>
  <c r="U88" i="7"/>
  <c r="W88" i="7" s="1"/>
  <c r="F88" i="7"/>
  <c r="D88" i="7"/>
  <c r="X87" i="7"/>
  <c r="U87" i="7"/>
  <c r="W87" i="7" s="1"/>
  <c r="Z87" i="7" s="1"/>
  <c r="F87" i="7"/>
  <c r="D87" i="7"/>
  <c r="X86" i="7"/>
  <c r="U86" i="7"/>
  <c r="W86" i="7" s="1"/>
  <c r="F86" i="7"/>
  <c r="D86" i="7"/>
  <c r="X85" i="7"/>
  <c r="W85" i="7"/>
  <c r="Z85" i="7" s="1"/>
  <c r="U85" i="7"/>
  <c r="D85" i="7"/>
  <c r="X84" i="7"/>
  <c r="W84" i="7"/>
  <c r="Z84" i="7" s="1"/>
  <c r="U84" i="7"/>
  <c r="D84" i="7"/>
  <c r="U83" i="7"/>
  <c r="U82" i="7"/>
  <c r="X76" i="7"/>
  <c r="U76" i="7"/>
  <c r="W76" i="7" s="1"/>
  <c r="Z76" i="7" s="1"/>
  <c r="D76" i="7"/>
  <c r="X75" i="7"/>
  <c r="U75" i="7"/>
  <c r="W75" i="7" s="1"/>
  <c r="F75" i="7"/>
  <c r="D75" i="7"/>
  <c r="X74" i="7"/>
  <c r="U74" i="7"/>
  <c r="W74" i="7" s="1"/>
  <c r="AB74" i="7" s="1"/>
  <c r="F74" i="7"/>
  <c r="D74" i="7"/>
  <c r="X73" i="7"/>
  <c r="U73" i="7"/>
  <c r="W73" i="7" s="1"/>
  <c r="Z73" i="7" s="1"/>
  <c r="F73" i="7"/>
  <c r="D73" i="7"/>
  <c r="X72" i="7"/>
  <c r="U72" i="7"/>
  <c r="W72" i="7" s="1"/>
  <c r="Z72" i="7" s="1"/>
  <c r="D72" i="7"/>
  <c r="X71" i="7"/>
  <c r="U71" i="7"/>
  <c r="W71" i="7" s="1"/>
  <c r="Z71" i="7" s="1"/>
  <c r="D71" i="7"/>
  <c r="U70" i="7"/>
  <c r="U69" i="7"/>
  <c r="X63" i="7"/>
  <c r="U63" i="7"/>
  <c r="W63" i="7" s="1"/>
  <c r="Z63" i="7" s="1"/>
  <c r="D63" i="7"/>
  <c r="X62" i="7"/>
  <c r="U62" i="7"/>
  <c r="W62" i="7" s="1"/>
  <c r="Z62" i="7" s="1"/>
  <c r="F62" i="7"/>
  <c r="D62" i="7"/>
  <c r="X61" i="7"/>
  <c r="U61" i="7"/>
  <c r="W61" i="7" s="1"/>
  <c r="F61" i="7"/>
  <c r="D61" i="7"/>
  <c r="X60" i="7"/>
  <c r="U60" i="7"/>
  <c r="W60" i="7" s="1"/>
  <c r="F60" i="7"/>
  <c r="D60" i="7"/>
  <c r="X59" i="7"/>
  <c r="U59" i="7"/>
  <c r="W59" i="7" s="1"/>
  <c r="Z59" i="7" s="1"/>
  <c r="D59" i="7"/>
  <c r="X58" i="7"/>
  <c r="U58" i="7"/>
  <c r="W58" i="7" s="1"/>
  <c r="Z58" i="7" s="1"/>
  <c r="D58" i="7"/>
  <c r="U57" i="7"/>
  <c r="U56" i="7"/>
  <c r="X45" i="7"/>
  <c r="U45" i="7"/>
  <c r="W45" i="7" s="1"/>
  <c r="Z45" i="7" s="1"/>
  <c r="D45" i="7"/>
  <c r="X44" i="7"/>
  <c r="U44" i="7"/>
  <c r="W44" i="7" s="1"/>
  <c r="F44" i="7"/>
  <c r="D44" i="7"/>
  <c r="X43" i="7"/>
  <c r="U43" i="7"/>
  <c r="W43" i="7" s="1"/>
  <c r="Z43" i="7" s="1"/>
  <c r="F43" i="7"/>
  <c r="D43" i="7"/>
  <c r="X42" i="7"/>
  <c r="U42" i="7"/>
  <c r="W42" i="7" s="1"/>
  <c r="N42" i="7"/>
  <c r="F42" i="7"/>
  <c r="D42" i="7"/>
  <c r="X41" i="7"/>
  <c r="U41" i="7"/>
  <c r="W41" i="7" s="1"/>
  <c r="Z41" i="7" s="1"/>
  <c r="N41" i="7"/>
  <c r="D41" i="7"/>
  <c r="X40" i="7"/>
  <c r="U40" i="7"/>
  <c r="W40" i="7" s="1"/>
  <c r="Z40" i="7" s="1"/>
  <c r="D40" i="7"/>
  <c r="U39" i="7"/>
  <c r="U38" i="7"/>
  <c r="K36" i="7"/>
  <c r="K35" i="7"/>
  <c r="X32" i="7"/>
  <c r="U32" i="7"/>
  <c r="W32" i="7" s="1"/>
  <c r="Z32" i="7" s="1"/>
  <c r="D32" i="7"/>
  <c r="X31" i="7"/>
  <c r="U31" i="7"/>
  <c r="W31" i="7" s="1"/>
  <c r="F31" i="7"/>
  <c r="D31" i="7"/>
  <c r="X30" i="7"/>
  <c r="U30" i="7"/>
  <c r="W30" i="7" s="1"/>
  <c r="Z30" i="7" s="1"/>
  <c r="F30" i="7"/>
  <c r="D30" i="7"/>
  <c r="X29" i="7"/>
  <c r="U29" i="7"/>
  <c r="W29" i="7" s="1"/>
  <c r="F29" i="7"/>
  <c r="D29" i="7"/>
  <c r="X28" i="7"/>
  <c r="U28" i="7"/>
  <c r="W28" i="7" s="1"/>
  <c r="Z28" i="7" s="1"/>
  <c r="D28" i="7"/>
  <c r="X27" i="7"/>
  <c r="U27" i="7"/>
  <c r="W27" i="7" s="1"/>
  <c r="Z27" i="7" s="1"/>
  <c r="D27" i="7"/>
  <c r="U26" i="7"/>
  <c r="U25" i="7"/>
  <c r="X19" i="7"/>
  <c r="U19" i="7"/>
  <c r="W19" i="7" s="1"/>
  <c r="Z19" i="7" s="1"/>
  <c r="D19" i="7"/>
  <c r="X18" i="7"/>
  <c r="U18" i="7"/>
  <c r="W18" i="7" s="1"/>
  <c r="F18" i="7"/>
  <c r="D18" i="7"/>
  <c r="X17" i="7"/>
  <c r="U17" i="7"/>
  <c r="W17" i="7" s="1"/>
  <c r="F17" i="7"/>
  <c r="D17" i="7"/>
  <c r="X16" i="7"/>
  <c r="U16" i="7"/>
  <c r="W16" i="7" s="1"/>
  <c r="F16" i="7"/>
  <c r="D16" i="7"/>
  <c r="X15" i="7"/>
  <c r="U15" i="7"/>
  <c r="W15" i="7" s="1"/>
  <c r="Z15" i="7" s="1"/>
  <c r="D15" i="7"/>
  <c r="X14" i="7"/>
  <c r="U14" i="7"/>
  <c r="W14" i="7" s="1"/>
  <c r="Z14" i="7" s="1"/>
  <c r="D14" i="7"/>
  <c r="U13" i="7"/>
  <c r="U12" i="7"/>
  <c r="F90" i="7" l="1"/>
  <c r="X91" i="7" s="1"/>
  <c r="D77" i="7"/>
  <c r="X77" i="7" s="1"/>
  <c r="F77" i="7"/>
  <c r="X78" i="7" s="1"/>
  <c r="Z34" i="8"/>
  <c r="Z47" i="8"/>
  <c r="Z20" i="8"/>
  <c r="Z50" i="8" s="1"/>
  <c r="Z22" i="8" s="1"/>
  <c r="Z78" i="8"/>
  <c r="Z46" i="8"/>
  <c r="Z21" i="8"/>
  <c r="R12" i="10"/>
  <c r="Q12" i="10"/>
  <c r="R12" i="9"/>
  <c r="Q12" i="9"/>
  <c r="F20" i="7"/>
  <c r="X21" i="7" s="1"/>
  <c r="D46" i="7"/>
  <c r="X46" i="7" s="1"/>
  <c r="F46" i="7"/>
  <c r="X47" i="7" s="1"/>
  <c r="D33" i="7"/>
  <c r="X33" i="7" s="1"/>
  <c r="F33" i="7"/>
  <c r="X34" i="7" s="1"/>
  <c r="Z65" i="8"/>
  <c r="Z95" i="8" s="1"/>
  <c r="F94" i="8"/>
  <c r="X95" i="8" s="1"/>
  <c r="Z64" i="8"/>
  <c r="Z94" i="8" s="1"/>
  <c r="Z92" i="8" s="1"/>
  <c r="D50" i="8"/>
  <c r="X50" i="8" s="1"/>
  <c r="X64" i="8"/>
  <c r="D94" i="8"/>
  <c r="F50" i="8"/>
  <c r="Z74" i="7"/>
  <c r="AB87" i="7"/>
  <c r="AB43" i="7"/>
  <c r="F64" i="7"/>
  <c r="D64" i="7"/>
  <c r="X64" i="7" s="1"/>
  <c r="D20" i="7"/>
  <c r="X20" i="7" s="1"/>
  <c r="AB17" i="7"/>
  <c r="Z17" i="7"/>
  <c r="Z61" i="7"/>
  <c r="AB61" i="7"/>
  <c r="Z42" i="7"/>
  <c r="AB42" i="7"/>
  <c r="Z75" i="7"/>
  <c r="AB75" i="7"/>
  <c r="AB29" i="7"/>
  <c r="Z29" i="7"/>
  <c r="Z86" i="7"/>
  <c r="AB86" i="7"/>
  <c r="AB16" i="7"/>
  <c r="Z16" i="7"/>
  <c r="AB18" i="7"/>
  <c r="Z18" i="7"/>
  <c r="AB31" i="7"/>
  <c r="Z31" i="7"/>
  <c r="AB44" i="7"/>
  <c r="Z44" i="7"/>
  <c r="AB60" i="7"/>
  <c r="Z60" i="7"/>
  <c r="AB88" i="7"/>
  <c r="Z88" i="7"/>
  <c r="AB62" i="7"/>
  <c r="D90" i="7"/>
  <c r="AB30" i="7"/>
  <c r="AB73" i="7"/>
  <c r="J99" i="6"/>
  <c r="E95" i="6"/>
  <c r="E93" i="6"/>
  <c r="H93" i="6" s="1"/>
  <c r="E92" i="6"/>
  <c r="E91" i="6"/>
  <c r="H91" i="6" s="1"/>
  <c r="H90" i="6"/>
  <c r="E90" i="6"/>
  <c r="E89" i="6"/>
  <c r="H89" i="6" s="1"/>
  <c r="E88" i="6"/>
  <c r="H88" i="6" s="1"/>
  <c r="E83" i="6"/>
  <c r="H81" i="6"/>
  <c r="E81" i="6"/>
  <c r="E80" i="6"/>
  <c r="E79" i="6"/>
  <c r="H79" i="6" s="1"/>
  <c r="E78" i="6"/>
  <c r="H78" i="6" s="1"/>
  <c r="H77" i="6"/>
  <c r="E77" i="6"/>
  <c r="E76" i="6"/>
  <c r="H76" i="6" s="1"/>
  <c r="E71" i="6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45" i="6"/>
  <c r="E43" i="6"/>
  <c r="H43" i="6" s="1"/>
  <c r="E42" i="6"/>
  <c r="H41" i="6"/>
  <c r="E41" i="6"/>
  <c r="H40" i="6"/>
  <c r="E40" i="6"/>
  <c r="E39" i="6"/>
  <c r="H39" i="6" s="1"/>
  <c r="H38" i="6"/>
  <c r="H45" i="6" s="1"/>
  <c r="E38" i="6"/>
  <c r="E33" i="6"/>
  <c r="H31" i="6"/>
  <c r="E31" i="6"/>
  <c r="E30" i="6"/>
  <c r="H29" i="6"/>
  <c r="E29" i="6"/>
  <c r="H28" i="6"/>
  <c r="E28" i="6"/>
  <c r="H27" i="6"/>
  <c r="E27" i="6"/>
  <c r="E26" i="6"/>
  <c r="H26" i="6" s="1"/>
  <c r="E21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71" i="5"/>
  <c r="J99" i="5"/>
  <c r="H99" i="5"/>
  <c r="E95" i="5"/>
  <c r="E93" i="5"/>
  <c r="H93" i="5" s="1"/>
  <c r="E92" i="5"/>
  <c r="E91" i="5"/>
  <c r="H91" i="5" s="1"/>
  <c r="E90" i="5"/>
  <c r="H90" i="5" s="1"/>
  <c r="E89" i="5"/>
  <c r="H89" i="5" s="1"/>
  <c r="E88" i="5"/>
  <c r="H88" i="5" s="1"/>
  <c r="E83" i="5"/>
  <c r="E81" i="5"/>
  <c r="H81" i="5" s="1"/>
  <c r="E80" i="5"/>
  <c r="H80" i="5" s="1"/>
  <c r="E79" i="5"/>
  <c r="H79" i="5" s="1"/>
  <c r="E78" i="5"/>
  <c r="H78" i="5" s="1"/>
  <c r="E77" i="5"/>
  <c r="H77" i="5" s="1"/>
  <c r="E76" i="5"/>
  <c r="H76" i="5" s="1"/>
  <c r="E69" i="5"/>
  <c r="H69" i="5" s="1"/>
  <c r="E68" i="5"/>
  <c r="H68" i="5" s="1"/>
  <c r="E67" i="5"/>
  <c r="H67" i="5" s="1"/>
  <c r="E66" i="5"/>
  <c r="H66" i="5" s="1"/>
  <c r="E65" i="5"/>
  <c r="H65" i="5" s="1"/>
  <c r="E64" i="5"/>
  <c r="H64" i="5" s="1"/>
  <c r="J49" i="5"/>
  <c r="H49" i="5"/>
  <c r="E45" i="5"/>
  <c r="E43" i="5"/>
  <c r="H43" i="5" s="1"/>
  <c r="E42" i="5"/>
  <c r="E41" i="5"/>
  <c r="H41" i="5" s="1"/>
  <c r="E40" i="5"/>
  <c r="H40" i="5" s="1"/>
  <c r="E39" i="5"/>
  <c r="H39" i="5" s="1"/>
  <c r="E38" i="5"/>
  <c r="H38" i="5" s="1"/>
  <c r="E33" i="5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1" i="5"/>
  <c r="E15" i="5"/>
  <c r="H15" i="5" s="1"/>
  <c r="E16" i="5"/>
  <c r="H16" i="5" s="1"/>
  <c r="E17" i="5"/>
  <c r="H17" i="5" s="1"/>
  <c r="E18" i="5"/>
  <c r="H18" i="5" s="1"/>
  <c r="E19" i="5"/>
  <c r="H19" i="5" s="1"/>
  <c r="E14" i="5"/>
  <c r="H14" i="5" s="1"/>
  <c r="F94" i="7" l="1"/>
  <c r="X95" i="7" s="1"/>
  <c r="Z51" i="8"/>
  <c r="D35" i="8"/>
  <c r="Z91" i="7"/>
  <c r="Z77" i="7"/>
  <c r="Z78" i="7"/>
  <c r="Z47" i="7"/>
  <c r="Z66" i="8"/>
  <c r="Z79" i="8"/>
  <c r="D22" i="8"/>
  <c r="D48" i="8"/>
  <c r="Z48" i="8"/>
  <c r="Z35" i="8"/>
  <c r="N12" i="8"/>
  <c r="X51" i="8"/>
  <c r="L12" i="8"/>
  <c r="X94" i="8"/>
  <c r="D79" i="8"/>
  <c r="D92" i="8"/>
  <c r="D66" i="8"/>
  <c r="Z20" i="7"/>
  <c r="Z21" i="7"/>
  <c r="Z46" i="7"/>
  <c r="Z90" i="7"/>
  <c r="Z33" i="7"/>
  <c r="Z34" i="7"/>
  <c r="Z64" i="7"/>
  <c r="X65" i="7"/>
  <c r="Z65" i="7"/>
  <c r="D50" i="7"/>
  <c r="X50" i="7" s="1"/>
  <c r="F50" i="7"/>
  <c r="X90" i="7"/>
  <c r="D94" i="7"/>
  <c r="H21" i="6"/>
  <c r="H33" i="6"/>
  <c r="H71" i="6"/>
  <c r="H83" i="6"/>
  <c r="H95" i="6"/>
  <c r="H71" i="5"/>
  <c r="H83" i="5"/>
  <c r="H95" i="5"/>
  <c r="H21" i="5"/>
  <c r="H45" i="5"/>
  <c r="H33" i="5"/>
  <c r="X89" i="4"/>
  <c r="U89" i="4"/>
  <c r="W89" i="4" s="1"/>
  <c r="Z89" i="4" s="1"/>
  <c r="D89" i="4"/>
  <c r="X88" i="4"/>
  <c r="U88" i="4"/>
  <c r="W88" i="4" s="1"/>
  <c r="F88" i="4"/>
  <c r="D88" i="4"/>
  <c r="X87" i="4"/>
  <c r="U87" i="4"/>
  <c r="W87" i="4" s="1"/>
  <c r="F87" i="4"/>
  <c r="D87" i="4"/>
  <c r="X86" i="4"/>
  <c r="W86" i="4"/>
  <c r="AB86" i="4" s="1"/>
  <c r="U86" i="4"/>
  <c r="F86" i="4"/>
  <c r="D86" i="4"/>
  <c r="X85" i="4"/>
  <c r="U85" i="4"/>
  <c r="W85" i="4" s="1"/>
  <c r="Z85" i="4" s="1"/>
  <c r="D85" i="4"/>
  <c r="F90" i="4" s="1"/>
  <c r="X91" i="4" s="1"/>
  <c r="X84" i="4"/>
  <c r="W84" i="4"/>
  <c r="Z84" i="4" s="1"/>
  <c r="U84" i="4"/>
  <c r="D84" i="4"/>
  <c r="D90" i="4" s="1"/>
  <c r="U83" i="4"/>
  <c r="U82" i="4"/>
  <c r="X76" i="4"/>
  <c r="U76" i="4"/>
  <c r="W76" i="4" s="1"/>
  <c r="Z76" i="4" s="1"/>
  <c r="D76" i="4"/>
  <c r="X75" i="4"/>
  <c r="U75" i="4"/>
  <c r="W75" i="4" s="1"/>
  <c r="AB75" i="4" s="1"/>
  <c r="F75" i="4"/>
  <c r="D75" i="4"/>
  <c r="X74" i="4"/>
  <c r="U74" i="4"/>
  <c r="W74" i="4" s="1"/>
  <c r="F74" i="4"/>
  <c r="D74" i="4"/>
  <c r="X73" i="4"/>
  <c r="U73" i="4"/>
  <c r="W73" i="4" s="1"/>
  <c r="F73" i="4"/>
  <c r="D73" i="4"/>
  <c r="X72" i="4"/>
  <c r="U72" i="4"/>
  <c r="W72" i="4" s="1"/>
  <c r="Z72" i="4" s="1"/>
  <c r="D72" i="4"/>
  <c r="X71" i="4"/>
  <c r="U71" i="4"/>
  <c r="W71" i="4" s="1"/>
  <c r="Z71" i="4" s="1"/>
  <c r="D71" i="4"/>
  <c r="U70" i="4"/>
  <c r="U69" i="4"/>
  <c r="X63" i="4"/>
  <c r="U63" i="4"/>
  <c r="W63" i="4" s="1"/>
  <c r="Z63" i="4" s="1"/>
  <c r="D63" i="4"/>
  <c r="X62" i="4"/>
  <c r="U62" i="4"/>
  <c r="W62" i="4" s="1"/>
  <c r="F62" i="4"/>
  <c r="D62" i="4"/>
  <c r="X61" i="4"/>
  <c r="U61" i="4"/>
  <c r="W61" i="4" s="1"/>
  <c r="F61" i="4"/>
  <c r="D61" i="4"/>
  <c r="X60" i="4"/>
  <c r="U60" i="4"/>
  <c r="W60" i="4" s="1"/>
  <c r="F60" i="4"/>
  <c r="D60" i="4"/>
  <c r="X59" i="4"/>
  <c r="U59" i="4"/>
  <c r="W59" i="4" s="1"/>
  <c r="Z59" i="4" s="1"/>
  <c r="D59" i="4"/>
  <c r="X58" i="4"/>
  <c r="U58" i="4"/>
  <c r="W58" i="4" s="1"/>
  <c r="Z58" i="4" s="1"/>
  <c r="D58" i="4"/>
  <c r="U57" i="4"/>
  <c r="U56" i="4"/>
  <c r="X45" i="4"/>
  <c r="U45" i="4"/>
  <c r="W45" i="4" s="1"/>
  <c r="Z45" i="4" s="1"/>
  <c r="D45" i="4"/>
  <c r="X44" i="4"/>
  <c r="U44" i="4"/>
  <c r="W44" i="4" s="1"/>
  <c r="F44" i="4"/>
  <c r="D44" i="4"/>
  <c r="X43" i="4"/>
  <c r="U43" i="4"/>
  <c r="W43" i="4" s="1"/>
  <c r="F43" i="4"/>
  <c r="D43" i="4"/>
  <c r="X42" i="4"/>
  <c r="W42" i="4"/>
  <c r="AB42" i="4" s="1"/>
  <c r="U42" i="4"/>
  <c r="N42" i="4"/>
  <c r="F42" i="4"/>
  <c r="F46" i="4" s="1"/>
  <c r="X47" i="4" s="1"/>
  <c r="D42" i="4"/>
  <c r="X41" i="4"/>
  <c r="U41" i="4"/>
  <c r="W41" i="4" s="1"/>
  <c r="Z41" i="4" s="1"/>
  <c r="N41" i="4"/>
  <c r="D41" i="4"/>
  <c r="X40" i="4"/>
  <c r="W40" i="4"/>
  <c r="Z40" i="4" s="1"/>
  <c r="U40" i="4"/>
  <c r="D40" i="4"/>
  <c r="D46" i="4" s="1"/>
  <c r="U39" i="4"/>
  <c r="U38" i="4"/>
  <c r="K36" i="4"/>
  <c r="K35" i="4"/>
  <c r="X32" i="4"/>
  <c r="U32" i="4"/>
  <c r="W32" i="4" s="1"/>
  <c r="Z32" i="4" s="1"/>
  <c r="D32" i="4"/>
  <c r="X31" i="4"/>
  <c r="U31" i="4"/>
  <c r="W31" i="4" s="1"/>
  <c r="F31" i="4"/>
  <c r="D31" i="4"/>
  <c r="X30" i="4"/>
  <c r="U30" i="4"/>
  <c r="W30" i="4" s="1"/>
  <c r="AB30" i="4" s="1"/>
  <c r="F30" i="4"/>
  <c r="D30" i="4"/>
  <c r="X29" i="4"/>
  <c r="U29" i="4"/>
  <c r="W29" i="4" s="1"/>
  <c r="F29" i="4"/>
  <c r="D29" i="4"/>
  <c r="D33" i="4" s="1"/>
  <c r="X28" i="4"/>
  <c r="W28" i="4"/>
  <c r="Z28" i="4" s="1"/>
  <c r="U28" i="4"/>
  <c r="D28" i="4"/>
  <c r="X27" i="4"/>
  <c r="U27" i="4"/>
  <c r="W27" i="4" s="1"/>
  <c r="Z27" i="4" s="1"/>
  <c r="D27" i="4"/>
  <c r="U26" i="4"/>
  <c r="U25" i="4"/>
  <c r="X19" i="4"/>
  <c r="U19" i="4"/>
  <c r="W19" i="4" s="1"/>
  <c r="Z19" i="4" s="1"/>
  <c r="X18" i="4"/>
  <c r="U18" i="4"/>
  <c r="W18" i="4" s="1"/>
  <c r="F18" i="4"/>
  <c r="X17" i="4"/>
  <c r="U17" i="4"/>
  <c r="W17" i="4" s="1"/>
  <c r="F17" i="4"/>
  <c r="X16" i="4"/>
  <c r="U16" i="4"/>
  <c r="F16" i="4"/>
  <c r="X15" i="4"/>
  <c r="U15" i="4"/>
  <c r="W15" i="4" s="1"/>
  <c r="Z15" i="4" s="1"/>
  <c r="X14" i="4"/>
  <c r="U14" i="4"/>
  <c r="W14" i="4" s="1"/>
  <c r="Z14" i="4" s="1"/>
  <c r="U13" i="4"/>
  <c r="U12" i="4"/>
  <c r="F77" i="4" l="1"/>
  <c r="X78" i="4" s="1"/>
  <c r="H47" i="6"/>
  <c r="R11" i="6" s="1"/>
  <c r="W16" i="4"/>
  <c r="AB16" i="4" s="1"/>
  <c r="Z95" i="7"/>
  <c r="P12" i="8"/>
  <c r="S12" i="8" s="1"/>
  <c r="Z50" i="7"/>
  <c r="Z22" i="7" s="1"/>
  <c r="Z94" i="7"/>
  <c r="Z79" i="7" s="1"/>
  <c r="Z51" i="7"/>
  <c r="D22" i="7"/>
  <c r="D48" i="7"/>
  <c r="D35" i="7"/>
  <c r="X94" i="7"/>
  <c r="D79" i="7"/>
  <c r="D66" i="7"/>
  <c r="D92" i="7"/>
  <c r="N12" i="7"/>
  <c r="X51" i="7"/>
  <c r="L12" i="7"/>
  <c r="AB61" i="4"/>
  <c r="Z61" i="4"/>
  <c r="F64" i="4"/>
  <c r="F33" i="4"/>
  <c r="X34" i="4" s="1"/>
  <c r="D20" i="4"/>
  <c r="X20" i="4" s="1"/>
  <c r="F20" i="4"/>
  <c r="H97" i="6"/>
  <c r="P11" i="6" s="1"/>
  <c r="H47" i="5"/>
  <c r="R11" i="5" s="1"/>
  <c r="H97" i="5"/>
  <c r="P11" i="5" s="1"/>
  <c r="Z62" i="4"/>
  <c r="AB62" i="4"/>
  <c r="Z73" i="4"/>
  <c r="AB73" i="4"/>
  <c r="X90" i="4"/>
  <c r="X46" i="4"/>
  <c r="Z43" i="4"/>
  <c r="AB43" i="4"/>
  <c r="AB18" i="4"/>
  <c r="Z18" i="4"/>
  <c r="AB74" i="4"/>
  <c r="Z74" i="4"/>
  <c r="AB31" i="4"/>
  <c r="Z31" i="4"/>
  <c r="AB60" i="4"/>
  <c r="Z60" i="4"/>
  <c r="AB17" i="4"/>
  <c r="Z17" i="4"/>
  <c r="AB88" i="4"/>
  <c r="Z88" i="4"/>
  <c r="AB29" i="4"/>
  <c r="Z29" i="4"/>
  <c r="Z44" i="4"/>
  <c r="AB44" i="4"/>
  <c r="AB87" i="4"/>
  <c r="Z87" i="4"/>
  <c r="Z30" i="4"/>
  <c r="X33" i="4"/>
  <c r="D77" i="4"/>
  <c r="Z42" i="4"/>
  <c r="Z75" i="4"/>
  <c r="Z86" i="4"/>
  <c r="D64" i="4"/>
  <c r="P12" i="6" l="1"/>
  <c r="F94" i="4"/>
  <c r="X95" i="4" s="1"/>
  <c r="T11" i="6"/>
  <c r="F49" i="6"/>
  <c r="L49" i="6" s="1"/>
  <c r="T11" i="5"/>
  <c r="Z46" i="4"/>
  <c r="Z16" i="4"/>
  <c r="Z20" i="4" s="1"/>
  <c r="Z34" i="4"/>
  <c r="Z78" i="4"/>
  <c r="R12" i="8"/>
  <c r="Q12" i="8"/>
  <c r="Z35" i="7"/>
  <c r="Z48" i="7"/>
  <c r="Z92" i="7"/>
  <c r="Z66" i="7"/>
  <c r="Z21" i="4"/>
  <c r="Z77" i="4"/>
  <c r="P12" i="7"/>
  <c r="Q12" i="7" s="1"/>
  <c r="Z91" i="4"/>
  <c r="Z90" i="4"/>
  <c r="Z47" i="4"/>
  <c r="Z33" i="4"/>
  <c r="Z64" i="4"/>
  <c r="X65" i="4"/>
  <c r="Z65" i="4"/>
  <c r="F50" i="4"/>
  <c r="X51" i="4" s="1"/>
  <c r="D50" i="4"/>
  <c r="D22" i="4" s="1"/>
  <c r="X21" i="4"/>
  <c r="F99" i="6"/>
  <c r="L99" i="6" s="1"/>
  <c r="R12" i="6"/>
  <c r="F99" i="5"/>
  <c r="L99" i="5" s="1"/>
  <c r="R12" i="5"/>
  <c r="F49" i="5"/>
  <c r="L49" i="5" s="1"/>
  <c r="P12" i="5"/>
  <c r="D94" i="4"/>
  <c r="D66" i="4" s="1"/>
  <c r="X64" i="4"/>
  <c r="X77" i="4"/>
  <c r="T12" i="6" l="1"/>
  <c r="R12" i="7"/>
  <c r="Z51" i="4"/>
  <c r="Z95" i="4"/>
  <c r="X50" i="4"/>
  <c r="D35" i="4"/>
  <c r="Z94" i="4"/>
  <c r="Z92" i="4" s="1"/>
  <c r="S12" i="7"/>
  <c r="Z50" i="4"/>
  <c r="Z22" i="4" s="1"/>
  <c r="N12" i="4"/>
  <c r="D48" i="4"/>
  <c r="T12" i="5"/>
  <c r="X94" i="4"/>
  <c r="D92" i="4"/>
  <c r="D79" i="4"/>
  <c r="Z66" i="4" l="1"/>
  <c r="Z79" i="4"/>
  <c r="Z48" i="4"/>
  <c r="Z35" i="4"/>
  <c r="P12" i="4"/>
  <c r="S12" i="4" s="1"/>
  <c r="Q12" i="4" l="1"/>
  <c r="R12" i="4"/>
</calcChain>
</file>

<file path=xl/sharedStrings.xml><?xml version="1.0" encoding="utf-8"?>
<sst xmlns="http://schemas.openxmlformats.org/spreadsheetml/2006/main" count="3541" uniqueCount="190">
  <si>
    <t>PU en Siège</t>
  </si>
  <si>
    <t>=&gt;</t>
  </si>
  <si>
    <t>PU</t>
  </si>
  <si>
    <t>Grand Total des PU :</t>
  </si>
  <si>
    <t>PU en Siège)</t>
  </si>
  <si>
    <t>PU (=</t>
  </si>
  <si>
    <t>%</t>
  </si>
  <si>
    <t>Ratio de PU de base :</t>
  </si>
  <si>
    <t>Total Siège :</t>
  </si>
  <si>
    <t>Total :</t>
  </si>
  <si>
    <t>PU)</t>
  </si>
  <si>
    <t>(=</t>
  </si>
  <si>
    <t>Troupes d'Élite</t>
  </si>
  <si>
    <t>PU) (=</t>
  </si>
  <si>
    <t>Engins de Siège</t>
  </si>
  <si>
    <t>Mineurs</t>
  </si>
  <si>
    <t>Cavaliers</t>
  </si>
  <si>
    <t>Archers</t>
  </si>
  <si>
    <t>Fantassins</t>
  </si>
  <si>
    <t>(Notifier la présence éventuelle du Roi ou du Vassal ici)</t>
  </si>
  <si>
    <t># Nom de l'Armée #3</t>
  </si>
  <si>
    <t># Nom de l'Armée #2</t>
  </si>
  <si>
    <t>% de pertes</t>
  </si>
  <si>
    <t>Troupes du Camp 2 :</t>
  </si>
  <si>
    <t>Camp de</t>
  </si>
  <si>
    <t>Total des pertes du Camp n°2 :</t>
  </si>
  <si>
    <t>Total des pertes du Camp n°1 :</t>
  </si>
  <si>
    <t>Indiquez la somme des dés pour le Camp n°2 :</t>
  </si>
  <si>
    <t>Indiquez la somme des dés pour le Camp n°1 :</t>
  </si>
  <si>
    <t>pour le camp n°2</t>
  </si>
  <si>
    <t>Lancer :</t>
  </si>
  <si>
    <t>pour le camp n°1</t>
  </si>
  <si>
    <t>S'il y a retraite, calculer sur la Feuille "Retraite". (Cette page ne les gère pas.)</t>
  </si>
  <si>
    <t>Numéro du camp gagnant (1 pour celui du haut, 2 pour celui du bas) :</t>
  </si>
  <si>
    <t>+</t>
  </si>
  <si>
    <t>Indiquer le score du Camp gagnant après jet de dés :</t>
  </si>
  <si>
    <t>=&gt; Bataille non concluante : chaque adversaire reste sur ses positions.</t>
  </si>
  <si>
    <t>Différence finale : +2 pour Gro'Orag</t>
  </si>
  <si>
    <t>5 pour les Orsimers, 5 pour les Nordiques, Égalité.</t>
  </si>
  <si>
    <t>Je passe aux lancés de dés pour déterminer la marge.</t>
  </si>
  <si>
    <t>Total : +xxx pour le camp avantagé</t>
  </si>
  <si>
    <t>• Modificateur stratégique :</t>
  </si>
  <si>
    <t>• Malus de Moral</t>
  </si>
  <si>
    <t>• Bonus de Charisme</t>
  </si>
  <si>
    <t>• Bonus combat à domicile</t>
  </si>
  <si>
    <t>• Bonus de Murs / Barricade / Patriotisme</t>
  </si>
  <si>
    <t>• Modif RP / Tactique / Retard :</t>
  </si>
  <si>
    <t>(Ce qui suit liste les bonus à prendre en compte s'il y a lieu)</t>
  </si>
  <si>
    <t>=</t>
  </si>
  <si>
    <t>/</t>
  </si>
  <si>
    <t>• Modif de ratio :</t>
  </si>
  <si>
    <t>Troupes du Camp 1 :</t>
  </si>
  <si>
    <t>Ne pas y toucher</t>
  </si>
  <si>
    <t xml:space="preserve">Les cases grises sont celles où des calculs sont faits =&gt; </t>
  </si>
  <si>
    <t xml:space="preserve"> (ou après départ des fuyards et poursuivants si Retraite)</t>
  </si>
  <si>
    <t>Dans cet Excel, ne modifiez / complètez que les cases roses !</t>
  </si>
  <si>
    <t>État des armées au début du round</t>
  </si>
  <si>
    <t>Maximum 3 races différentes dans un même camp lors d'une bataille.</t>
  </si>
  <si>
    <t>/!\ Les troupes d'une même race sont toujours à fusionner.</t>
  </si>
  <si>
    <t>(Mettre "Siège", "Plaine" ou "Mer" sans les guillemets)</t>
  </si>
  <si>
    <t>Plaine</t>
  </si>
  <si>
    <t>Terrain =</t>
  </si>
  <si>
    <t>Conçu pour être copiable / collable directement sur le forum</t>
  </si>
  <si>
    <t>Calculateur des Pertes</t>
  </si>
  <si>
    <t>Calculateur de modif de ratio</t>
  </si>
  <si>
    <t>Calculateur de bataille - PU</t>
  </si>
  <si>
    <t>-</t>
  </si>
  <si>
    <t>septims)</t>
  </si>
  <si>
    <t>Coût des pertes militaires de</t>
  </si>
  <si>
    <t>:</t>
  </si>
  <si>
    <t>septims</t>
  </si>
  <si>
    <t>=&gt; Total de l'XP pour le Camp n°2 :</t>
  </si>
  <si>
    <t>*</t>
  </si>
  <si>
    <t>Bonus d'XP :</t>
  </si>
  <si>
    <t>Malus d'XP :</t>
  </si>
  <si>
    <t>x</t>
  </si>
  <si>
    <t>pour</t>
  </si>
  <si>
    <t>pour la Défaite en tant que Défenseur de</t>
  </si>
  <si>
    <t>l'écart de niveau</t>
  </si>
  <si>
    <t>la victoire / le match nul en tant que…</t>
  </si>
  <si>
    <t># Roi Manoster</t>
  </si>
  <si>
    <t>#</t>
  </si>
  <si>
    <t>la différence d'XP</t>
  </si>
  <si>
    <t>Trésor de guerre pour le Camp 1</t>
  </si>
  <si>
    <t>/10 +</t>
  </si>
  <si>
    <t>/4 =</t>
  </si>
  <si>
    <t>Trésor de guerre pour le Camp 2</t>
  </si>
  <si>
    <t>(Répondre "Oui" ou "Non", sans les guillemets.)</t>
  </si>
  <si>
    <t>Non</t>
  </si>
  <si>
    <t>Oui</t>
  </si>
  <si>
    <t>Est-ce que le Camp 1 est resté pour ramaser son butin ?</t>
  </si>
  <si>
    <t>Est-ce que le Camp 2 est resté pour ramaser son butin ?</t>
  </si>
  <si>
    <t>Coût des pertes militaires du Camp n°2 :</t>
  </si>
  <si>
    <t>Coût des pertes militaires du Camp n°1 :</t>
  </si>
  <si>
    <t>Mages</t>
  </si>
  <si>
    <t>=&gt; Total de l'XP pour le Camp n°1 :</t>
  </si>
  <si>
    <t>Sigis</t>
  </si>
  <si>
    <t>Siège</t>
  </si>
  <si>
    <t>Engins de Guerre</t>
  </si>
  <si>
    <t>Endrasil</t>
  </si>
  <si>
    <t>Danseurs</t>
  </si>
  <si>
    <t>Chevaucheurs</t>
  </si>
  <si>
    <t>Balistes</t>
  </si>
  <si>
    <t>Spriggans</t>
  </si>
  <si>
    <t>Liandryl</t>
  </si>
  <si>
    <t>Skaalds</t>
  </si>
  <si>
    <t>Monteurs de Loups</t>
  </si>
  <si>
    <t>Génies du Siège</t>
  </si>
  <si>
    <t>Vaillants</t>
  </si>
  <si>
    <t>Le Glacier Neigéternelle</t>
  </si>
  <si>
    <t># Roi Svanir</t>
  </si>
  <si>
    <t>Manoster</t>
  </si>
  <si>
    <t># Force d'Interception</t>
  </si>
  <si>
    <t>La Faucheuse</t>
  </si>
  <si>
    <t>Légionnaires</t>
  </si>
  <si>
    <t>La Grande Armée de Libération</t>
  </si>
  <si>
    <t># Régent Sigis Mundo + Duc Lamberth Savigny</t>
  </si>
  <si>
    <t>Légion III</t>
  </si>
  <si>
    <t>La Muraille Invincible + Force Dunmer Sud</t>
  </si>
  <si>
    <t>Les Vrais Mers</t>
  </si>
  <si>
    <t xml:space="preserve">Détachement Impérial </t>
  </si>
  <si>
    <t>Force Dunmer Étrangère</t>
  </si>
  <si>
    <t># Régent Sigis Mundo</t>
  </si>
  <si>
    <t># Eldar Cirwedh</t>
  </si>
  <si>
    <t xml:space="preserve">J'Zadran </t>
  </si>
  <si>
    <t xml:space="preserve">Chevaucheurs </t>
  </si>
  <si>
    <t xml:space="preserve">Spriggans </t>
  </si>
  <si>
    <t>Les Sentinelles du Bosquet + L'Écu de Chêne</t>
  </si>
  <si>
    <t>La Colère d'Yffre</t>
  </si>
  <si>
    <t># Eldar Yggdrasils</t>
  </si>
  <si>
    <t>Les Danseurs de Riddle'Thar</t>
  </si>
  <si>
    <t>Les Panthères des Sables</t>
  </si>
  <si>
    <t>Force d'Interception + Groupe 1 + Groupe 2</t>
  </si>
  <si>
    <t xml:space="preserve">Chevaliers </t>
  </si>
  <si>
    <t xml:space="preserve">Marteleurs </t>
  </si>
  <si>
    <t>Briseurs de Siège</t>
  </si>
  <si>
    <t>Porteurs Cruciformes</t>
  </si>
  <si>
    <t># Roi Richard</t>
  </si>
  <si>
    <t>Calculateur de bataille - PU - spécial retraire</t>
  </si>
  <si>
    <t>Poursuivants</t>
  </si>
  <si>
    <t>Total PU Poursuivants :</t>
  </si>
  <si>
    <t>PU en Mode Poursuite)</t>
  </si>
  <si>
    <t>Indiquez le Cas de Retraite (2, 3, ou 4. Si c'est 1, c'est forcément 0 % de pertes)</t>
  </si>
  <si>
    <t>Cas #</t>
  </si>
  <si>
    <t>Base des pertes des Poursuivants :</t>
  </si>
  <si>
    <t>(Répondre "Oui" ou "Non")</t>
  </si>
  <si>
    <t>n'ont fait qu'une Retraite Partielle ?</t>
  </si>
  <si>
    <t xml:space="preserve">Est-ce que les Poursuivants ont eux-même décrété une Retraite alors que les fuyards </t>
  </si>
  <si>
    <t xml:space="preserve">Si les Poursuivants ont eux-même décrété une Retraite alors que les fuyards </t>
  </si>
  <si>
    <t>% de pertes (</t>
  </si>
  <si>
    <t>% sur les Cavaliers)</t>
  </si>
  <si>
    <t>% sur les Engins de Siège)</t>
  </si>
  <si>
    <t>et (</t>
  </si>
  <si>
    <t>Troupes des Poursuivants :</t>
  </si>
  <si>
    <t>Troupes des Fuyards :</t>
  </si>
  <si>
    <t>n'ont fait qu'une Retraite Partielle (cas rare) =&gt; Pertes aussi pour les Poursuivants.</t>
  </si>
  <si>
    <t>Base des pertes des Fuyards :</t>
  </si>
  <si>
    <t>pour les Fuyards (Mettre 2, 3 ou 4)</t>
  </si>
  <si>
    <t>Si oui, indiquez leurs cas : Cas #</t>
  </si>
  <si>
    <t>pour les Poursuivants</t>
  </si>
  <si>
    <t>pour les poursuivants s'il y a lieu.)</t>
  </si>
  <si>
    <t>(Rapporter ces valeurs dans la colonne de droite, juste à côté pour les fuyards, et en haut</t>
  </si>
  <si>
    <t>Total des pertes des Poursuivants :</t>
  </si>
  <si>
    <t>Total des pertes des Fuyards :</t>
  </si>
  <si>
    <t>Fuyards</t>
  </si>
  <si>
    <t>PU en Mode Fuite)</t>
  </si>
  <si>
    <t>Total PU Fuyards :</t>
  </si>
  <si>
    <t>/!\ En cas de double Retraite, le fuyard sera toujours celui qui a décrété la Retraite en 1er</t>
  </si>
  <si>
    <t>Joueur 1</t>
  </si>
  <si>
    <t>(Ignorer si 0 pertes)</t>
  </si>
  <si>
    <t>A gauche, mettre dans un premier temps toutes les troupes présentes (pour calcul des PU)</t>
  </si>
  <si>
    <t xml:space="preserve">et du ratio), puis remplacer par uniquement les troupes de ceux qui quittent le champ </t>
  </si>
  <si>
    <t>de bataille si Retraite Partielle (pour calculs des pertes)</t>
  </si>
  <si>
    <t>(Ignorer si Cas 1)</t>
  </si>
  <si>
    <t>Une Poursuite échoue si le score est de +8 ou mieux en faveur des Fuyards.</t>
  </si>
  <si>
    <t>Une Retraite échoue si le score est de -8 ou pire pour les Fuyards (sauf si Démoralisation)</t>
  </si>
  <si>
    <t>Les Retraites n'ont aucun impact sur le Moral des Poursuivants.</t>
  </si>
  <si>
    <t>Richard</t>
  </si>
  <si>
    <t>Le Fléau des Cendres</t>
  </si>
  <si>
    <t>Kalafra</t>
  </si>
  <si>
    <t>L'Ombre Impériale</t>
  </si>
  <si>
    <t>Senches Raths</t>
  </si>
  <si>
    <t>L'oppression de Bann Dar + La Nuit de Ja-Kha'jai</t>
  </si>
  <si>
    <t># Mane Asmodhai</t>
  </si>
  <si>
    <t>Garnison Urbaine de Leyawiin</t>
  </si>
  <si>
    <t xml:space="preserve"># </t>
  </si>
  <si>
    <t>Guerriers Squelettes</t>
  </si>
  <si>
    <t>Chevaliers</t>
  </si>
  <si>
    <t>Nécromanciens Blancs</t>
  </si>
  <si>
    <t>Archers de la Dévastation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</si>
</sst>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rgb="FF800080"/>
      <name val="Georgia"/>
      <family val="1"/>
    </font>
    <font>
      <b/>
      <sz val="11"/>
      <color theme="1"/>
      <name val="Georgia"/>
      <family val="1"/>
    </font>
    <font>
      <i/>
      <sz val="11"/>
      <color rgb="FF000000"/>
      <name val="Georgia"/>
      <family val="1"/>
    </font>
    <font>
      <sz val="11"/>
      <color rgb="FFFF0000"/>
      <name val="Georgia"/>
      <family val="1"/>
    </font>
    <font>
      <sz val="11"/>
      <color rgb="FFC00000"/>
      <name val="Georgia"/>
      <family val="1"/>
    </font>
    <font>
      <i/>
      <sz val="11"/>
      <color theme="1"/>
      <name val="Georgia"/>
      <family val="1"/>
    </font>
    <font>
      <b/>
      <sz val="18"/>
      <color rgb="FF7030A0"/>
      <name val="Georgia"/>
      <family val="1"/>
    </font>
    <font>
      <b/>
      <sz val="11"/>
      <color theme="0"/>
      <name val="Georgia"/>
      <family val="1"/>
    </font>
    <font>
      <b/>
      <i/>
      <sz val="18"/>
      <color rgb="FF7030A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 style="medium">
        <color rgb="FF0070C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6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3" fontId="3" fillId="3" borderId="0" xfId="0" applyNumberFormat="1" applyFont="1" applyFill="1"/>
    <xf numFmtId="49" fontId="3" fillId="0" borderId="0" xfId="0" applyNumberFormat="1" applyFont="1"/>
    <xf numFmtId="3" fontId="3" fillId="0" borderId="0" xfId="0" applyNumberFormat="1" applyFont="1"/>
    <xf numFmtId="49" fontId="2" fillId="0" borderId="0" xfId="0" applyNumberFormat="1" applyFont="1"/>
    <xf numFmtId="0" fontId="4" fillId="0" borderId="0" xfId="0" applyFont="1"/>
    <xf numFmtId="2" fontId="4" fillId="3" borderId="0" xfId="0" applyNumberFormat="1" applyFont="1" applyFill="1"/>
    <xf numFmtId="3" fontId="4" fillId="3" borderId="0" xfId="0" applyNumberFormat="1" applyFont="1" applyFill="1"/>
    <xf numFmtId="49" fontId="4" fillId="0" borderId="0" xfId="0" applyNumberFormat="1" applyFont="1"/>
    <xf numFmtId="3" fontId="4" fillId="0" borderId="0" xfId="0" applyNumberFormat="1" applyFont="1"/>
    <xf numFmtId="3" fontId="2" fillId="0" borderId="0" xfId="0" applyNumberFormat="1" applyFont="1"/>
    <xf numFmtId="0" fontId="4" fillId="4" borderId="0" xfId="0" applyFont="1" applyFill="1"/>
    <xf numFmtId="3" fontId="2" fillId="3" borderId="0" xfId="0" applyNumberFormat="1" applyFont="1" applyFill="1"/>
    <xf numFmtId="0" fontId="2" fillId="3" borderId="0" xfId="0" applyFont="1" applyFill="1"/>
    <xf numFmtId="49" fontId="2" fillId="3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5" fillId="0" borderId="0" xfId="0" applyFont="1"/>
    <xf numFmtId="0" fontId="5" fillId="4" borderId="0" xfId="0" applyFont="1" applyFill="1"/>
    <xf numFmtId="0" fontId="2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2" fontId="4" fillId="0" borderId="0" xfId="0" applyNumberFormat="1" applyFont="1"/>
    <xf numFmtId="0" fontId="2" fillId="5" borderId="0" xfId="0" applyFont="1" applyFill="1"/>
    <xf numFmtId="49" fontId="2" fillId="5" borderId="0" xfId="0" applyNumberFormat="1" applyFont="1" applyFill="1"/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right"/>
    </xf>
    <xf numFmtId="4" fontId="2" fillId="3" borderId="0" xfId="1" applyNumberFormat="1" applyFont="1" applyFill="1" applyAlignment="1">
      <alignment horizontal="left"/>
    </xf>
    <xf numFmtId="3" fontId="2" fillId="3" borderId="0" xfId="0" applyNumberFormat="1" applyFont="1" applyFill="1" applyAlignment="1">
      <alignment horizontal="left"/>
    </xf>
    <xf numFmtId="0" fontId="7" fillId="0" borderId="0" xfId="0" applyFont="1"/>
    <xf numFmtId="0" fontId="8" fillId="0" borderId="0" xfId="0" applyFont="1"/>
    <xf numFmtId="0" fontId="4" fillId="2" borderId="0" xfId="0" applyFont="1" applyFill="1"/>
    <xf numFmtId="0" fontId="9" fillId="0" borderId="0" xfId="0" applyFont="1"/>
    <xf numFmtId="0" fontId="2" fillId="6" borderId="0" xfId="2" applyFont="1"/>
    <xf numFmtId="3" fontId="10" fillId="3" borderId="0" xfId="0" applyNumberFormat="1" applyFont="1" applyFill="1"/>
    <xf numFmtId="3" fontId="10" fillId="0" borderId="0" xfId="0" applyNumberFormat="1" applyFont="1"/>
    <xf numFmtId="0" fontId="11" fillId="0" borderId="0" xfId="0" applyFont="1" applyAlignment="1">
      <alignment vertical="center"/>
    </xf>
  </cellXfs>
  <cellStyles count="3">
    <cellStyle name="20 % - Accent6" xfId="2" builtinId="50"/>
    <cellStyle name="Milliers" xfId="1" builtinId="3"/>
    <cellStyle name="Normal" xfId="0" builtinId="0"/>
  </cellStyles>
  <dxfs count="202"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</dxfs>
  <tableStyles count="0" defaultTableStyle="TableStyleMedium2" defaultPivotStyle="PivotStyleLight16"/>
  <colors>
    <mruColors>
      <color rgb="FFFF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workbookViewId="0">
      <selection activeCell="L12" sqref="L12:S12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10.7109375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65</v>
      </c>
      <c r="B1" s="8"/>
      <c r="C1" s="8"/>
      <c r="D1" s="8"/>
      <c r="E1" s="8"/>
      <c r="F1" s="8"/>
      <c r="G1" s="8"/>
      <c r="H1" s="8"/>
      <c r="I1" s="36"/>
      <c r="J1" s="8" t="s">
        <v>64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63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62</v>
      </c>
      <c r="B2" s="35"/>
      <c r="C2" s="35"/>
      <c r="D2" s="35"/>
      <c r="E2" s="35"/>
      <c r="F2" s="35"/>
      <c r="G2" s="1"/>
      <c r="H2" s="1"/>
      <c r="I2" s="2"/>
      <c r="J2" s="1" t="s">
        <v>61</v>
      </c>
      <c r="K2" s="18" t="s">
        <v>97</v>
      </c>
      <c r="L2" s="1" t="s">
        <v>59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58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57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56</v>
      </c>
      <c r="B6" s="1"/>
      <c r="C6" s="1"/>
      <c r="D6" s="1"/>
      <c r="E6" s="1"/>
      <c r="F6" s="1"/>
      <c r="G6" s="1"/>
      <c r="H6" s="1"/>
      <c r="I6" s="2"/>
      <c r="J6" s="1" t="s">
        <v>55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54</v>
      </c>
      <c r="B7" s="1"/>
      <c r="C7" s="1"/>
      <c r="D7" s="1"/>
      <c r="E7" s="1"/>
      <c r="F7" s="1"/>
      <c r="G7" s="1"/>
      <c r="H7" s="1"/>
      <c r="I7" s="2"/>
      <c r="J7" s="1" t="s">
        <v>53</v>
      </c>
      <c r="L7" s="1"/>
      <c r="M7" s="1"/>
      <c r="N7" s="1"/>
      <c r="O7" s="1"/>
      <c r="P7" s="1"/>
      <c r="Q7" s="1"/>
      <c r="R7" s="16"/>
      <c r="S7" s="1" t="s">
        <v>52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24</v>
      </c>
      <c r="B10" s="18" t="s">
        <v>177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51</v>
      </c>
      <c r="V10" s="1"/>
      <c r="W10" s="1"/>
      <c r="X10" s="18">
        <v>59</v>
      </c>
      <c r="Y10" s="1" t="s">
        <v>22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178</v>
      </c>
      <c r="B12" s="20"/>
      <c r="C12" s="1"/>
      <c r="D12" s="1"/>
      <c r="E12" s="1"/>
      <c r="F12" s="1"/>
      <c r="G12" s="1"/>
      <c r="H12" s="1"/>
      <c r="I12" s="2"/>
      <c r="J12" s="16" t="s">
        <v>50</v>
      </c>
      <c r="K12" s="16"/>
      <c r="L12" s="15">
        <f>IF(OR(K2="Mer",K2="Siège"),IF(F50&gt;F94,F50,F94),IF(K2="Plaine",IF(D50&gt;D94,D50,D94),"Erreur !"))</f>
        <v>113813</v>
      </c>
      <c r="M12" s="16" t="s">
        <v>49</v>
      </c>
      <c r="N12" s="33">
        <f>IF(OR(K2="Mer",K2="Siège"),IF(F50&lt;=F94,F50,F94),IF(K2="Plaine",IF(D50&lt;=D94,D50,D94),"Erreur !"))</f>
        <v>48630</v>
      </c>
      <c r="O12" s="16" t="s">
        <v>48</v>
      </c>
      <c r="P12" s="32">
        <f>L12/N12</f>
        <v>2.3403865926382892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+4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Manoster</v>
      </c>
      <c r="T12" s="2"/>
      <c r="U12" s="15" t="str">
        <f t="shared" ref="U12:U19" si="0">A12</f>
        <v>Le Fléau des Cendres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 t="s">
        <v>137</v>
      </c>
      <c r="B13" s="1"/>
      <c r="C13" s="1"/>
      <c r="D13" s="1"/>
      <c r="E13" s="1"/>
      <c r="F13" s="1"/>
      <c r="G13" s="1"/>
      <c r="H13" s="1"/>
      <c r="I13" s="2"/>
      <c r="J13" s="1" t="s">
        <v>47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 t="str">
        <f t="shared" si="0"/>
        <v># Roi Richard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>
        <v>392</v>
      </c>
      <c r="B14" s="18" t="s">
        <v>133</v>
      </c>
      <c r="C14" s="1" t="s">
        <v>11</v>
      </c>
      <c r="D14" s="15">
        <f>2*A14</f>
        <v>784</v>
      </c>
      <c r="E14" s="1" t="s">
        <v>10</v>
      </c>
      <c r="F14" s="1"/>
      <c r="G14" s="1"/>
      <c r="H14" s="1"/>
      <c r="I14" s="2"/>
      <c r="J14" s="7" t="s">
        <v>46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392</v>
      </c>
      <c r="V14" s="17" t="s">
        <v>1</v>
      </c>
      <c r="W14" s="15">
        <f t="shared" ref="W14:W19" si="1">ROUND(U14*(1-X$10/100),0)</f>
        <v>161</v>
      </c>
      <c r="X14" s="16" t="str">
        <f t="shared" ref="X14:X19" si="2">B14</f>
        <v xml:space="preserve">Chevaliers </v>
      </c>
      <c r="Y14" s="1" t="s">
        <v>11</v>
      </c>
      <c r="Z14" s="15">
        <f>2*W14</f>
        <v>322</v>
      </c>
      <c r="AA14" s="1" t="s">
        <v>10</v>
      </c>
      <c r="AB14" s="1"/>
      <c r="AC14" s="1"/>
      <c r="AD14" s="1"/>
    </row>
    <row r="15" spans="1:30" x14ac:dyDescent="0.25">
      <c r="A15" s="19">
        <v>862</v>
      </c>
      <c r="B15" s="18" t="s">
        <v>17</v>
      </c>
      <c r="C15" s="1" t="s">
        <v>11</v>
      </c>
      <c r="D15" s="15">
        <f>3*A15</f>
        <v>2586</v>
      </c>
      <c r="E15" s="1" t="s">
        <v>10</v>
      </c>
      <c r="F15" s="1"/>
      <c r="G15" s="1"/>
      <c r="H15" s="1"/>
      <c r="I15" s="2"/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862</v>
      </c>
      <c r="V15" s="17" t="s">
        <v>1</v>
      </c>
      <c r="W15" s="15">
        <f t="shared" si="1"/>
        <v>353</v>
      </c>
      <c r="X15" s="16" t="str">
        <f t="shared" si="2"/>
        <v>Archers</v>
      </c>
      <c r="Y15" s="1" t="s">
        <v>11</v>
      </c>
      <c r="Z15" s="15">
        <f>3*W15</f>
        <v>1059</v>
      </c>
      <c r="AA15" s="1" t="s">
        <v>10</v>
      </c>
      <c r="AB15" s="1"/>
      <c r="AC15" s="1"/>
      <c r="AD15" s="1"/>
    </row>
    <row r="16" spans="1:30" x14ac:dyDescent="0.25">
      <c r="A16" s="19">
        <v>729</v>
      </c>
      <c r="B16" s="18" t="s">
        <v>101</v>
      </c>
      <c r="C16" s="1" t="s">
        <v>11</v>
      </c>
      <c r="D16" s="15">
        <f>4*A16</f>
        <v>2916</v>
      </c>
      <c r="E16" s="1" t="s">
        <v>13</v>
      </c>
      <c r="F16" s="15">
        <f>2*A16</f>
        <v>1458</v>
      </c>
      <c r="G16" s="1" t="s">
        <v>4</v>
      </c>
      <c r="H16" s="1"/>
      <c r="I16" s="2"/>
      <c r="J16" s="7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729</v>
      </c>
      <c r="V16" s="17" t="s">
        <v>1</v>
      </c>
      <c r="W16" s="15">
        <f t="shared" si="1"/>
        <v>299</v>
      </c>
      <c r="X16" s="16" t="str">
        <f t="shared" si="2"/>
        <v>Chevaucheurs</v>
      </c>
      <c r="Y16" s="1" t="s">
        <v>11</v>
      </c>
      <c r="Z16" s="15">
        <f>4*W16</f>
        <v>1196</v>
      </c>
      <c r="AA16" s="1" t="s">
        <v>13</v>
      </c>
      <c r="AB16" s="15">
        <f>2*W16</f>
        <v>598</v>
      </c>
      <c r="AC16" s="1" t="s">
        <v>4</v>
      </c>
      <c r="AD16" s="1"/>
    </row>
    <row r="17" spans="1:30" x14ac:dyDescent="0.25">
      <c r="A17" s="19">
        <v>5464</v>
      </c>
      <c r="B17" s="18" t="s">
        <v>134</v>
      </c>
      <c r="C17" s="1" t="s">
        <v>11</v>
      </c>
      <c r="D17" s="15">
        <f>1*A17</f>
        <v>5464</v>
      </c>
      <c r="E17" s="1" t="s">
        <v>13</v>
      </c>
      <c r="F17" s="15">
        <f>3*A17</f>
        <v>16392</v>
      </c>
      <c r="G17" s="1" t="s">
        <v>4</v>
      </c>
      <c r="H17" s="1"/>
      <c r="I17" s="2"/>
      <c r="J17" s="7" t="s">
        <v>43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5464</v>
      </c>
      <c r="V17" s="17" t="s">
        <v>1</v>
      </c>
      <c r="W17" s="15">
        <f t="shared" si="1"/>
        <v>2240</v>
      </c>
      <c r="X17" s="16" t="str">
        <f t="shared" si="2"/>
        <v xml:space="preserve">Marteleurs </v>
      </c>
      <c r="Y17" s="1" t="s">
        <v>11</v>
      </c>
      <c r="Z17" s="15">
        <f>1*W17</f>
        <v>2240</v>
      </c>
      <c r="AA17" s="1" t="s">
        <v>13</v>
      </c>
      <c r="AB17" s="15">
        <f>3*W17</f>
        <v>6720</v>
      </c>
      <c r="AC17" s="1" t="s">
        <v>4</v>
      </c>
      <c r="AD17" s="1"/>
    </row>
    <row r="18" spans="1:30" x14ac:dyDescent="0.25">
      <c r="A18" s="19">
        <v>242</v>
      </c>
      <c r="B18" s="18" t="s">
        <v>135</v>
      </c>
      <c r="C18" s="1" t="s">
        <v>11</v>
      </c>
      <c r="D18" s="15">
        <f>15*A18</f>
        <v>3630</v>
      </c>
      <c r="E18" s="1" t="s">
        <v>13</v>
      </c>
      <c r="F18" s="15">
        <f>50*A18</f>
        <v>12100</v>
      </c>
      <c r="G18" s="1" t="s">
        <v>4</v>
      </c>
      <c r="H18" s="1"/>
      <c r="I18" s="2"/>
      <c r="J18" s="7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242</v>
      </c>
      <c r="V18" s="17" t="s">
        <v>1</v>
      </c>
      <c r="W18" s="15">
        <f t="shared" si="1"/>
        <v>99</v>
      </c>
      <c r="X18" s="16" t="str">
        <f t="shared" si="2"/>
        <v>Briseurs de Siège</v>
      </c>
      <c r="Y18" s="1" t="s">
        <v>11</v>
      </c>
      <c r="Z18" s="15">
        <f>15*W18</f>
        <v>1485</v>
      </c>
      <c r="AA18" s="1" t="s">
        <v>13</v>
      </c>
      <c r="AB18" s="15">
        <f>50*W18</f>
        <v>4950</v>
      </c>
      <c r="AC18" s="1" t="s">
        <v>4</v>
      </c>
      <c r="AD18" s="1"/>
    </row>
    <row r="19" spans="1:30" x14ac:dyDescent="0.25">
      <c r="A19" s="19">
        <v>1531</v>
      </c>
      <c r="B19" s="18" t="s">
        <v>136</v>
      </c>
      <c r="C19" s="1" t="s">
        <v>11</v>
      </c>
      <c r="D19" s="15">
        <f>10*A19</f>
        <v>15310</v>
      </c>
      <c r="E19" s="1" t="s">
        <v>10</v>
      </c>
      <c r="F19" s="1"/>
      <c r="G19" s="1"/>
      <c r="H19" s="1"/>
      <c r="I19" s="2"/>
      <c r="J19" s="7" t="s">
        <v>41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1531</v>
      </c>
      <c r="V19" s="17" t="s">
        <v>1</v>
      </c>
      <c r="W19" s="15">
        <f t="shared" si="1"/>
        <v>628</v>
      </c>
      <c r="X19" s="16" t="str">
        <f t="shared" si="2"/>
        <v>Porteurs Cruciformes</v>
      </c>
      <c r="Y19" s="1" t="s">
        <v>11</v>
      </c>
      <c r="Z19" s="15">
        <f>10*W19</f>
        <v>6280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30690</v>
      </c>
      <c r="E20" s="8" t="s">
        <v>5</v>
      </c>
      <c r="F20" s="10">
        <f>D14+D15+F16+F17+F18+D19</f>
        <v>48630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30690</v>
      </c>
      <c r="Y20" s="11" t="s">
        <v>1</v>
      </c>
      <c r="Z20" s="10">
        <f>Z14+Z15+Z16+Z17+Z18+Z19</f>
        <v>12582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40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48630</v>
      </c>
      <c r="Y21" s="11" t="s">
        <v>1</v>
      </c>
      <c r="Z21" s="10">
        <f>Z14+Z15+AB16+AB17+AB18+Z19</f>
        <v>19929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100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100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39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182</v>
      </c>
      <c r="B25" s="20"/>
      <c r="C25" s="1"/>
      <c r="D25" s="1"/>
      <c r="E25" s="1"/>
      <c r="F25" s="1"/>
      <c r="G25" s="1"/>
      <c r="H25" s="1"/>
      <c r="I25" s="2"/>
      <c r="J25" s="1" t="s">
        <v>38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26" si="3">A25</f>
        <v>L'oppression de Bann Dar + La Nuit de Ja-Kha'jai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183</v>
      </c>
      <c r="B26" s="1"/>
      <c r="C26" s="1"/>
      <c r="D26" s="1"/>
      <c r="E26" s="1"/>
      <c r="F26" s="1"/>
      <c r="G26" s="1"/>
      <c r="H26" s="1"/>
      <c r="I26" s="2"/>
      <c r="J26" s="1" t="s">
        <v>37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# Mane Asmodhai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/>
      <c r="B27" s="18" t="s">
        <v>18</v>
      </c>
      <c r="C27" s="1" t="s">
        <v>11</v>
      </c>
      <c r="D27" s="15">
        <f>2*A27</f>
        <v>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ref="U27:U32" si="4">A27</f>
        <v>0</v>
      </c>
      <c r="V27" s="17" t="s">
        <v>1</v>
      </c>
      <c r="W27" s="15">
        <f t="shared" ref="W27:W32" si="5">ROUND(U27*(1-X$10/100),0)</f>
        <v>0</v>
      </c>
      <c r="X27" s="16" t="str">
        <f t="shared" ref="X27:X32" si="6">B27</f>
        <v>Fantassins</v>
      </c>
      <c r="Y27" s="1" t="s">
        <v>11</v>
      </c>
      <c r="Z27" s="15">
        <f>2*W27</f>
        <v>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36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4"/>
        <v>0</v>
      </c>
      <c r="V28" s="17" t="s">
        <v>1</v>
      </c>
      <c r="W28" s="15">
        <f t="shared" si="5"/>
        <v>0</v>
      </c>
      <c r="X28" s="16" t="str">
        <f t="shared" si="6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4*A29</f>
        <v>0</v>
      </c>
      <c r="E29" s="1" t="s">
        <v>13</v>
      </c>
      <c r="F29" s="15">
        <f>2*A29</f>
        <v>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4"/>
        <v>0</v>
      </c>
      <c r="V29" s="17" t="s">
        <v>1</v>
      </c>
      <c r="W29" s="15">
        <f t="shared" si="5"/>
        <v>0</v>
      </c>
      <c r="X29" s="16" t="str">
        <f t="shared" si="6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35</v>
      </c>
      <c r="K30" s="1"/>
      <c r="L30" s="1"/>
      <c r="M30" s="1"/>
      <c r="N30" s="1"/>
      <c r="O30" s="1"/>
      <c r="P30" s="1"/>
      <c r="Q30" s="1"/>
      <c r="R30" s="31" t="s">
        <v>34</v>
      </c>
      <c r="S30" s="29">
        <v>10</v>
      </c>
      <c r="T30" s="2"/>
      <c r="U30" s="15">
        <f t="shared" si="4"/>
        <v>0</v>
      </c>
      <c r="V30" s="17" t="s">
        <v>1</v>
      </c>
      <c r="W30" s="15">
        <f t="shared" si="5"/>
        <v>0</v>
      </c>
      <c r="X30" s="16" t="str">
        <f t="shared" si="6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33</v>
      </c>
      <c r="K31" s="1"/>
      <c r="L31" s="1"/>
      <c r="M31" s="1"/>
      <c r="N31" s="1"/>
      <c r="O31" s="1"/>
      <c r="P31" s="1"/>
      <c r="Q31" s="1"/>
      <c r="R31" s="1"/>
      <c r="S31" s="29">
        <v>2</v>
      </c>
      <c r="T31" s="2"/>
      <c r="U31" s="15">
        <f t="shared" si="4"/>
        <v>0</v>
      </c>
      <c r="V31" s="17" t="s">
        <v>1</v>
      </c>
      <c r="W31" s="15">
        <f t="shared" si="5"/>
        <v>0</v>
      </c>
      <c r="X31" s="16" t="str">
        <f t="shared" si="6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181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4"/>
        <v>0</v>
      </c>
      <c r="V32" s="17" t="s">
        <v>1</v>
      </c>
      <c r="W32" s="15">
        <f t="shared" si="5"/>
        <v>0</v>
      </c>
      <c r="X32" s="16" t="str">
        <f t="shared" si="6"/>
        <v>Senches Raths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0</v>
      </c>
      <c r="E33" s="8" t="s">
        <v>5</v>
      </c>
      <c r="F33" s="10">
        <f>D27+D28+F29+F30+F31+D32</f>
        <v>0</v>
      </c>
      <c r="G33" s="8" t="s">
        <v>4</v>
      </c>
      <c r="H33" s="1"/>
      <c r="I33" s="2"/>
      <c r="J33" s="30" t="s">
        <v>32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0</v>
      </c>
      <c r="Y33" s="11" t="s">
        <v>1</v>
      </c>
      <c r="Z33" s="10">
        <f>Z27+Z28+Z29+Z30+Z31+Z32</f>
        <v>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0</v>
      </c>
      <c r="Y34" s="11" t="s">
        <v>1</v>
      </c>
      <c r="Z34" s="10">
        <f>Z27+Z28+AB29+AB30+AB31+Z32</f>
        <v>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0</v>
      </c>
      <c r="E35" s="8" t="s">
        <v>6</v>
      </c>
      <c r="F35" s="1"/>
      <c r="G35" s="1"/>
      <c r="H35" s="1"/>
      <c r="I35" s="2"/>
      <c r="J35" s="1" t="s">
        <v>30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8 D6</v>
      </c>
      <c r="L35" s="1" t="s">
        <v>31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30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1 D6</v>
      </c>
      <c r="L36" s="1" t="s">
        <v>29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28</v>
      </c>
      <c r="K38" s="1"/>
      <c r="L38" s="1"/>
      <c r="M38" s="1"/>
      <c r="N38" s="1"/>
      <c r="O38" s="1"/>
      <c r="P38" s="1"/>
      <c r="Q38" s="1"/>
      <c r="R38" s="1"/>
      <c r="S38" s="29">
        <v>29</v>
      </c>
      <c r="T38" s="2"/>
      <c r="U38" s="15" t="str">
        <f t="shared" ref="U38:U39" si="7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27</v>
      </c>
      <c r="K39" s="1"/>
      <c r="L39" s="1"/>
      <c r="M39" s="1"/>
      <c r="N39" s="1"/>
      <c r="O39" s="1"/>
      <c r="P39" s="1"/>
      <c r="Q39" s="1"/>
      <c r="R39" s="1"/>
      <c r="S39" s="29">
        <v>2</v>
      </c>
      <c r="T39" s="2"/>
      <c r="U39" s="15" t="str">
        <f t="shared" si="7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ref="U40:U45" si="8">A40</f>
        <v>0</v>
      </c>
      <c r="V40" s="17" t="s">
        <v>1</v>
      </c>
      <c r="W40" s="15">
        <f t="shared" ref="W40:W45" si="9">ROUND(U40*(1-X$10/100),0)</f>
        <v>0</v>
      </c>
      <c r="X40" s="16" t="str">
        <f t="shared" ref="X40:X45" si="10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26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59</v>
      </c>
      <c r="O41" s="1" t="s">
        <v>6</v>
      </c>
      <c r="P41" s="1"/>
      <c r="Q41" s="1"/>
      <c r="R41" s="1"/>
      <c r="S41" s="1"/>
      <c r="T41" s="2"/>
      <c r="U41" s="15">
        <f t="shared" si="8"/>
        <v>0</v>
      </c>
      <c r="V41" s="17" t="s">
        <v>1</v>
      </c>
      <c r="W41" s="15">
        <f t="shared" si="9"/>
        <v>0</v>
      </c>
      <c r="X41" s="16" t="str">
        <f t="shared" si="10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25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4</v>
      </c>
      <c r="O42" s="1" t="s">
        <v>6</v>
      </c>
      <c r="P42" s="1"/>
      <c r="Q42" s="1"/>
      <c r="R42" s="1"/>
      <c r="S42" s="1"/>
      <c r="T42" s="2"/>
      <c r="U42" s="15">
        <f t="shared" si="8"/>
        <v>0</v>
      </c>
      <c r="V42" s="17" t="s">
        <v>1</v>
      </c>
      <c r="W42" s="15">
        <f t="shared" si="9"/>
        <v>0</v>
      </c>
      <c r="X42" s="16" t="str">
        <f t="shared" si="10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8"/>
        <v>0</v>
      </c>
      <c r="V43" s="17" t="s">
        <v>1</v>
      </c>
      <c r="W43" s="15">
        <f t="shared" si="9"/>
        <v>0</v>
      </c>
      <c r="X43" s="16" t="str">
        <f t="shared" si="10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8"/>
        <v>0</v>
      </c>
      <c r="V44" s="17" t="s">
        <v>1</v>
      </c>
      <c r="W44" s="15">
        <f t="shared" si="9"/>
        <v>0</v>
      </c>
      <c r="X44" s="16" t="str">
        <f t="shared" si="10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8"/>
        <v>0</v>
      </c>
      <c r="V45" s="17" t="s">
        <v>1</v>
      </c>
      <c r="W45" s="15">
        <f t="shared" si="9"/>
        <v>0</v>
      </c>
      <c r="X45" s="16" t="str">
        <f t="shared" si="10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30690</v>
      </c>
      <c r="E50" s="3" t="s">
        <v>5</v>
      </c>
      <c r="F50" s="4">
        <f>F20+F33+F46</f>
        <v>48630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30690</v>
      </c>
      <c r="Y50" s="5" t="s">
        <v>1</v>
      </c>
      <c r="Z50" s="4">
        <f>Z20+Z33+Z46</f>
        <v>12582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48630</v>
      </c>
      <c r="Y51" s="5" t="s">
        <v>1</v>
      </c>
      <c r="Z51" s="4">
        <f>Z21+Z34+Z47</f>
        <v>19929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24</v>
      </c>
      <c r="B54" s="18" t="s">
        <v>111</v>
      </c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23</v>
      </c>
      <c r="V54" s="7"/>
      <c r="W54" s="1"/>
      <c r="X54" s="18">
        <v>4</v>
      </c>
      <c r="Y54" s="1" t="s">
        <v>22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179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11">A56</f>
        <v>Kalafra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>
        <f t="shared" si="11"/>
        <v>0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3711</v>
      </c>
      <c r="B58" s="18" t="s">
        <v>18</v>
      </c>
      <c r="C58" s="1" t="s">
        <v>11</v>
      </c>
      <c r="D58" s="15">
        <f>2*A58</f>
        <v>7422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11"/>
        <v>3711</v>
      </c>
      <c r="V58" s="17" t="s">
        <v>1</v>
      </c>
      <c r="W58" s="15">
        <f t="shared" ref="W58:W63" si="12">ROUND(U58*(1-X$54/100),0)</f>
        <v>3563</v>
      </c>
      <c r="X58" s="16" t="str">
        <f t="shared" ref="X58:X63" si="13">B58</f>
        <v>Fantassins</v>
      </c>
      <c r="Y58" s="1" t="s">
        <v>11</v>
      </c>
      <c r="Z58" s="15">
        <f>2*W58</f>
        <v>7126</v>
      </c>
      <c r="AA58" s="1" t="s">
        <v>10</v>
      </c>
      <c r="AB58" s="1"/>
      <c r="AC58" s="1"/>
      <c r="AD58" s="1"/>
    </row>
    <row r="59" spans="1:30" x14ac:dyDescent="0.25">
      <c r="A59" s="19">
        <v>2496</v>
      </c>
      <c r="B59" s="18" t="s">
        <v>17</v>
      </c>
      <c r="C59" s="1" t="s">
        <v>11</v>
      </c>
      <c r="D59" s="15">
        <f>3*A59</f>
        <v>7488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11"/>
        <v>2496</v>
      </c>
      <c r="V59" s="17" t="s">
        <v>1</v>
      </c>
      <c r="W59" s="15">
        <f t="shared" si="12"/>
        <v>2396</v>
      </c>
      <c r="X59" s="16" t="str">
        <f t="shared" si="13"/>
        <v>Archers</v>
      </c>
      <c r="Y59" s="1" t="s">
        <v>11</v>
      </c>
      <c r="Z59" s="15">
        <f>3*W59</f>
        <v>7188</v>
      </c>
      <c r="AA59" s="1" t="s">
        <v>10</v>
      </c>
      <c r="AB59" s="1"/>
      <c r="AC59" s="1"/>
      <c r="AD59" s="1"/>
    </row>
    <row r="60" spans="1:30" x14ac:dyDescent="0.25">
      <c r="A60" s="19">
        <v>1966</v>
      </c>
      <c r="B60" s="18" t="s">
        <v>16</v>
      </c>
      <c r="C60" s="1" t="s">
        <v>11</v>
      </c>
      <c r="D60" s="15">
        <f>4*A60</f>
        <v>7864</v>
      </c>
      <c r="E60" s="1" t="s">
        <v>13</v>
      </c>
      <c r="F60" s="15">
        <f>2*A60</f>
        <v>3932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11"/>
        <v>1966</v>
      </c>
      <c r="V60" s="17" t="s">
        <v>1</v>
      </c>
      <c r="W60" s="15">
        <f t="shared" si="12"/>
        <v>1887</v>
      </c>
      <c r="X60" s="16" t="str">
        <f t="shared" si="13"/>
        <v>Cavaliers</v>
      </c>
      <c r="Y60" s="1" t="s">
        <v>11</v>
      </c>
      <c r="Z60" s="15">
        <f>4*W60</f>
        <v>7548</v>
      </c>
      <c r="AA60" s="1" t="s">
        <v>13</v>
      </c>
      <c r="AB60" s="15">
        <f>2*W60</f>
        <v>3774</v>
      </c>
      <c r="AC60" s="1" t="s">
        <v>4</v>
      </c>
      <c r="AD60" s="1"/>
    </row>
    <row r="61" spans="1:30" x14ac:dyDescent="0.25">
      <c r="A61" s="19">
        <v>736</v>
      </c>
      <c r="B61" s="18" t="s">
        <v>15</v>
      </c>
      <c r="C61" s="1" t="s">
        <v>11</v>
      </c>
      <c r="D61" s="15">
        <f>1*A61</f>
        <v>736</v>
      </c>
      <c r="E61" s="1" t="s">
        <v>13</v>
      </c>
      <c r="F61" s="15">
        <f>3*A61</f>
        <v>2208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11"/>
        <v>736</v>
      </c>
      <c r="V61" s="17" t="s">
        <v>1</v>
      </c>
      <c r="W61" s="15">
        <f t="shared" si="12"/>
        <v>707</v>
      </c>
      <c r="X61" s="16" t="str">
        <f t="shared" si="13"/>
        <v>Mineurs</v>
      </c>
      <c r="Y61" s="1" t="s">
        <v>11</v>
      </c>
      <c r="Z61" s="15">
        <f>1*W61</f>
        <v>707</v>
      </c>
      <c r="AA61" s="1" t="s">
        <v>13</v>
      </c>
      <c r="AB61" s="15">
        <f>3*W61</f>
        <v>2121</v>
      </c>
      <c r="AC61" s="1" t="s">
        <v>4</v>
      </c>
      <c r="AD61" s="1"/>
    </row>
    <row r="62" spans="1:30" x14ac:dyDescent="0.25">
      <c r="A62" s="19">
        <v>282</v>
      </c>
      <c r="B62" s="18" t="s">
        <v>14</v>
      </c>
      <c r="C62" s="1" t="s">
        <v>11</v>
      </c>
      <c r="D62" s="15">
        <f>15*A62</f>
        <v>4230</v>
      </c>
      <c r="E62" s="1" t="s">
        <v>13</v>
      </c>
      <c r="F62" s="15">
        <f>50*A62</f>
        <v>14100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11"/>
        <v>282</v>
      </c>
      <c r="V62" s="17" t="s">
        <v>1</v>
      </c>
      <c r="W62" s="15">
        <f t="shared" si="12"/>
        <v>271</v>
      </c>
      <c r="X62" s="16" t="str">
        <f t="shared" si="13"/>
        <v>Engins de Siège</v>
      </c>
      <c r="Y62" s="1" t="s">
        <v>11</v>
      </c>
      <c r="Z62" s="15">
        <f>15*W62</f>
        <v>4065</v>
      </c>
      <c r="AA62" s="1" t="s">
        <v>13</v>
      </c>
      <c r="AB62" s="15">
        <f>50*W62</f>
        <v>13550</v>
      </c>
      <c r="AC62" s="1" t="s">
        <v>4</v>
      </c>
      <c r="AD62" s="1"/>
    </row>
    <row r="63" spans="1:30" x14ac:dyDescent="0.25">
      <c r="A63" s="19">
        <v>390</v>
      </c>
      <c r="B63" s="18" t="s">
        <v>94</v>
      </c>
      <c r="C63" s="1" t="s">
        <v>11</v>
      </c>
      <c r="D63" s="15">
        <f>10*A63</f>
        <v>3900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11"/>
        <v>390</v>
      </c>
      <c r="V63" s="17" t="s">
        <v>1</v>
      </c>
      <c r="W63" s="15">
        <f t="shared" si="12"/>
        <v>374</v>
      </c>
      <c r="X63" s="16" t="str">
        <f t="shared" si="13"/>
        <v>Mages</v>
      </c>
      <c r="Y63" s="1" t="s">
        <v>11</v>
      </c>
      <c r="Z63" s="15">
        <f>10*W63</f>
        <v>3740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31640</v>
      </c>
      <c r="E64" s="8" t="s">
        <v>5</v>
      </c>
      <c r="F64" s="10">
        <f>D58+D59+F60+F61+F62+D63</f>
        <v>39050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31640</v>
      </c>
      <c r="Y64" s="11" t="s">
        <v>1</v>
      </c>
      <c r="Z64" s="10">
        <f>Z58+Z59+Z60+Z61+Z62+Z63</f>
        <v>30374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39050</v>
      </c>
      <c r="Y65" s="11" t="s">
        <v>1</v>
      </c>
      <c r="Z65" s="10">
        <f>Z58+Z59+AB60+AB61+AB62+Z63</f>
        <v>37499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35.061279670220074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35.058924016297887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182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4">A69</f>
        <v>L'oppression de Bann Dar + La Nuit de Ja-Kha'jai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183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4"/>
        <v># Mane Asmodhai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>
        <v>5076</v>
      </c>
      <c r="B71" s="18" t="s">
        <v>18</v>
      </c>
      <c r="C71" s="1" t="s">
        <v>11</v>
      </c>
      <c r="D71" s="15">
        <f>2*A71</f>
        <v>10152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4"/>
        <v>5076</v>
      </c>
      <c r="V71" s="17" t="s">
        <v>1</v>
      </c>
      <c r="W71" s="15">
        <f t="shared" ref="W71:W76" si="15">ROUND(U71*(1-X$54/100),0)</f>
        <v>4873</v>
      </c>
      <c r="X71" s="16" t="str">
        <f t="shared" ref="X71:X76" si="16">B71</f>
        <v>Fantassins</v>
      </c>
      <c r="Y71" s="1" t="s">
        <v>11</v>
      </c>
      <c r="Z71" s="15">
        <f>2*W71</f>
        <v>9746</v>
      </c>
      <c r="AA71" s="1" t="s">
        <v>10</v>
      </c>
      <c r="AB71" s="1"/>
      <c r="AC71" s="1"/>
      <c r="AD71" s="1"/>
    </row>
    <row r="72" spans="1:30" x14ac:dyDescent="0.25">
      <c r="A72" s="19">
        <v>3384</v>
      </c>
      <c r="B72" s="18" t="s">
        <v>17</v>
      </c>
      <c r="C72" s="1" t="s">
        <v>11</v>
      </c>
      <c r="D72" s="15">
        <f>3*A72</f>
        <v>10152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4"/>
        <v>3384</v>
      </c>
      <c r="V72" s="17" t="s">
        <v>1</v>
      </c>
      <c r="W72" s="15">
        <f t="shared" si="15"/>
        <v>3249</v>
      </c>
      <c r="X72" s="16" t="str">
        <f t="shared" si="16"/>
        <v>Archers</v>
      </c>
      <c r="Y72" s="1" t="s">
        <v>11</v>
      </c>
      <c r="Z72" s="15">
        <f>3*W72</f>
        <v>9747</v>
      </c>
      <c r="AA72" s="1" t="s">
        <v>10</v>
      </c>
      <c r="AB72" s="1"/>
      <c r="AC72" s="1"/>
      <c r="AD72" s="1"/>
    </row>
    <row r="73" spans="1:30" x14ac:dyDescent="0.25">
      <c r="A73" s="19">
        <v>2820</v>
      </c>
      <c r="B73" s="18" t="s">
        <v>16</v>
      </c>
      <c r="C73" s="1" t="s">
        <v>11</v>
      </c>
      <c r="D73" s="15">
        <f>4*A73</f>
        <v>11280</v>
      </c>
      <c r="E73" s="1" t="s">
        <v>13</v>
      </c>
      <c r="F73" s="15">
        <f>2*A73</f>
        <v>5640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4"/>
        <v>2820</v>
      </c>
      <c r="V73" s="17" t="s">
        <v>1</v>
      </c>
      <c r="W73" s="15">
        <f t="shared" si="15"/>
        <v>2707</v>
      </c>
      <c r="X73" s="16" t="str">
        <f t="shared" si="16"/>
        <v>Cavaliers</v>
      </c>
      <c r="Y73" s="1" t="s">
        <v>11</v>
      </c>
      <c r="Z73" s="15">
        <f>4*W73</f>
        <v>10828</v>
      </c>
      <c r="AA73" s="1" t="s">
        <v>13</v>
      </c>
      <c r="AB73" s="15">
        <f>2*W73</f>
        <v>5414</v>
      </c>
      <c r="AC73" s="1" t="s">
        <v>4</v>
      </c>
      <c r="AD73" s="1"/>
    </row>
    <row r="74" spans="1:30" x14ac:dyDescent="0.25">
      <c r="A74" s="19">
        <v>4653</v>
      </c>
      <c r="B74" s="18" t="s">
        <v>15</v>
      </c>
      <c r="C74" s="1" t="s">
        <v>11</v>
      </c>
      <c r="D74" s="15">
        <f>1*A74</f>
        <v>4653</v>
      </c>
      <c r="E74" s="1" t="s">
        <v>13</v>
      </c>
      <c r="F74" s="15">
        <f>3*A74</f>
        <v>13959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4"/>
        <v>4653</v>
      </c>
      <c r="V74" s="17" t="s">
        <v>1</v>
      </c>
      <c r="W74" s="15">
        <f t="shared" si="15"/>
        <v>4467</v>
      </c>
      <c r="X74" s="16" t="str">
        <f t="shared" si="16"/>
        <v>Mineurs</v>
      </c>
      <c r="Y74" s="1" t="s">
        <v>11</v>
      </c>
      <c r="Z74" s="15">
        <f>1*W74</f>
        <v>4467</v>
      </c>
      <c r="AA74" s="1" t="s">
        <v>13</v>
      </c>
      <c r="AB74" s="15">
        <f>3*W74</f>
        <v>13401</v>
      </c>
      <c r="AC74" s="1" t="s">
        <v>4</v>
      </c>
      <c r="AD74" s="1"/>
    </row>
    <row r="75" spans="1:30" x14ac:dyDescent="0.25">
      <c r="A75" s="19">
        <v>357</v>
      </c>
      <c r="B75" s="18" t="s">
        <v>14</v>
      </c>
      <c r="C75" s="1" t="s">
        <v>11</v>
      </c>
      <c r="D75" s="15">
        <f>15*A75</f>
        <v>5355</v>
      </c>
      <c r="E75" s="1" t="s">
        <v>13</v>
      </c>
      <c r="F75" s="15">
        <f>50*A75</f>
        <v>17850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4"/>
        <v>357</v>
      </c>
      <c r="V75" s="17" t="s">
        <v>1</v>
      </c>
      <c r="W75" s="15">
        <f t="shared" si="15"/>
        <v>343</v>
      </c>
      <c r="X75" s="16" t="str">
        <f t="shared" si="16"/>
        <v>Engins de Siège</v>
      </c>
      <c r="Y75" s="1" t="s">
        <v>11</v>
      </c>
      <c r="Z75" s="15">
        <f>15*W75</f>
        <v>5145</v>
      </c>
      <c r="AA75" s="1" t="s">
        <v>13</v>
      </c>
      <c r="AB75" s="15">
        <f>50*W75</f>
        <v>17150</v>
      </c>
      <c r="AC75" s="1" t="s">
        <v>4</v>
      </c>
      <c r="AD75" s="1"/>
    </row>
    <row r="76" spans="1:30" x14ac:dyDescent="0.25">
      <c r="A76" s="19">
        <v>1701</v>
      </c>
      <c r="B76" s="18" t="s">
        <v>181</v>
      </c>
      <c r="C76" s="1" t="s">
        <v>11</v>
      </c>
      <c r="D76" s="15">
        <f>10*A76</f>
        <v>17010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4"/>
        <v>1701</v>
      </c>
      <c r="V76" s="17" t="s">
        <v>1</v>
      </c>
      <c r="W76" s="15">
        <f t="shared" si="15"/>
        <v>1633</v>
      </c>
      <c r="X76" s="16" t="str">
        <f t="shared" si="16"/>
        <v>Senches Raths</v>
      </c>
      <c r="Y76" s="1" t="s">
        <v>11</v>
      </c>
      <c r="Z76" s="15">
        <f>10*W76</f>
        <v>16330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58602</v>
      </c>
      <c r="E77" s="8" t="s">
        <v>5</v>
      </c>
      <c r="F77" s="10">
        <f>D71+D72+F73+F74+F75+D76</f>
        <v>74763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58602</v>
      </c>
      <c r="Y77" s="11" t="s">
        <v>1</v>
      </c>
      <c r="Z77" s="10">
        <f>Z71+Z72+Z73+Z74+Z75+Z76</f>
        <v>56263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74763</v>
      </c>
      <c r="Y78" s="11" t="s">
        <v>1</v>
      </c>
      <c r="Z78" s="10">
        <f>Z71+Z72+AB73+AB74+AB75+Z76</f>
        <v>71788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64.938720329779926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64.94107598370212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7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7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7"/>
        <v>0</v>
      </c>
      <c r="V84" s="17" t="s">
        <v>1</v>
      </c>
      <c r="W84" s="15">
        <f t="shared" ref="W84:W89" si="18">ROUND(U84*(1-X$54/100),0)</f>
        <v>0</v>
      </c>
      <c r="X84" s="16" t="str">
        <f t="shared" ref="X84:X89" si="19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7"/>
        <v>0</v>
      </c>
      <c r="V85" s="17" t="s">
        <v>1</v>
      </c>
      <c r="W85" s="15">
        <f t="shared" si="18"/>
        <v>0</v>
      </c>
      <c r="X85" s="16" t="str">
        <f t="shared" si="19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7"/>
        <v>0</v>
      </c>
      <c r="V86" s="17" t="s">
        <v>1</v>
      </c>
      <c r="W86" s="15">
        <f t="shared" si="18"/>
        <v>0</v>
      </c>
      <c r="X86" s="16" t="str">
        <f t="shared" si="19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7"/>
        <v>0</v>
      </c>
      <c r="V87" s="17" t="s">
        <v>1</v>
      </c>
      <c r="W87" s="15">
        <f t="shared" si="18"/>
        <v>0</v>
      </c>
      <c r="X87" s="16" t="str">
        <f t="shared" si="19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7"/>
        <v>0</v>
      </c>
      <c r="V88" s="17" t="s">
        <v>1</v>
      </c>
      <c r="W88" s="15">
        <f t="shared" si="18"/>
        <v>0</v>
      </c>
      <c r="X88" s="16" t="str">
        <f t="shared" si="19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7"/>
        <v>0</v>
      </c>
      <c r="V89" s="17" t="s">
        <v>1</v>
      </c>
      <c r="W89" s="15">
        <f t="shared" si="18"/>
        <v>0</v>
      </c>
      <c r="X89" s="16" t="str">
        <f t="shared" si="19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90242</v>
      </c>
      <c r="E94" s="3" t="s">
        <v>5</v>
      </c>
      <c r="F94" s="4">
        <f>F64+F77+F90</f>
        <v>113813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90242</v>
      </c>
      <c r="Y94" s="5" t="s">
        <v>1</v>
      </c>
      <c r="Z94" s="4">
        <f>Z64+Z77+Z90</f>
        <v>86637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113813</v>
      </c>
      <c r="Y95" s="5" t="s">
        <v>1</v>
      </c>
      <c r="Z95" s="4">
        <f>Z65+Z78+Z91</f>
        <v>109287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201" priority="31" operator="greaterThanOrEqual">
      <formula>25</formula>
    </cfRule>
    <cfRule type="cellIs" dxfId="200" priority="32" operator="lessThan">
      <formula>25</formula>
    </cfRule>
  </conditionalFormatting>
  <conditionalFormatting sqref="D35">
    <cfRule type="cellIs" dxfId="199" priority="29" operator="greaterThanOrEqual">
      <formula>25</formula>
    </cfRule>
    <cfRule type="cellIs" dxfId="198" priority="30" operator="lessThan">
      <formula>25</formula>
    </cfRule>
  </conditionalFormatting>
  <conditionalFormatting sqref="D48">
    <cfRule type="cellIs" dxfId="197" priority="27" operator="greaterThanOrEqual">
      <formula>25</formula>
    </cfRule>
    <cfRule type="cellIs" dxfId="196" priority="28" operator="lessThan">
      <formula>25</formula>
    </cfRule>
  </conditionalFormatting>
  <conditionalFormatting sqref="D66:D68">
    <cfRule type="cellIs" dxfId="195" priority="23" operator="greaterThanOrEqual">
      <formula>25</formula>
    </cfRule>
    <cfRule type="cellIs" dxfId="194" priority="24" operator="lessThan">
      <formula>25</formula>
    </cfRule>
  </conditionalFormatting>
  <conditionalFormatting sqref="D79">
    <cfRule type="cellIs" dxfId="193" priority="21" operator="greaterThanOrEqual">
      <formula>25</formula>
    </cfRule>
    <cfRule type="cellIs" dxfId="192" priority="22" operator="lessThan">
      <formula>25</formula>
    </cfRule>
  </conditionalFormatting>
  <conditionalFormatting sqref="D92">
    <cfRule type="cellIs" dxfId="191" priority="19" operator="greaterThanOrEqual">
      <formula>25</formula>
    </cfRule>
    <cfRule type="cellIs" dxfId="190" priority="20" operator="lessThan">
      <formula>25</formula>
    </cfRule>
  </conditionalFormatting>
  <conditionalFormatting sqref="D36:D37">
    <cfRule type="cellIs" dxfId="189" priority="25" operator="greaterThanOrEqual">
      <formula>25</formula>
    </cfRule>
    <cfRule type="cellIs" dxfId="188" priority="26" operator="lessThan">
      <formula>25</formula>
    </cfRule>
  </conditionalFormatting>
  <conditionalFormatting sqref="D80:D81">
    <cfRule type="cellIs" dxfId="187" priority="17" operator="greaterThanOrEqual">
      <formula>25</formula>
    </cfRule>
    <cfRule type="cellIs" dxfId="186" priority="18" operator="lessThan">
      <formula>25</formula>
    </cfRule>
  </conditionalFormatting>
  <conditionalFormatting sqref="Z22:Z24">
    <cfRule type="cellIs" dxfId="185" priority="15" operator="greaterThanOrEqual">
      <formula>25</formula>
    </cfRule>
    <cfRule type="cellIs" dxfId="184" priority="16" operator="lessThan">
      <formula>25</formula>
    </cfRule>
  </conditionalFormatting>
  <conditionalFormatting sqref="Z35">
    <cfRule type="cellIs" dxfId="183" priority="13" operator="greaterThanOrEqual">
      <formula>25</formula>
    </cfRule>
    <cfRule type="cellIs" dxfId="182" priority="14" operator="lessThan">
      <formula>25</formula>
    </cfRule>
  </conditionalFormatting>
  <conditionalFormatting sqref="Z48">
    <cfRule type="cellIs" dxfId="181" priority="11" operator="greaterThanOrEqual">
      <formula>25</formula>
    </cfRule>
    <cfRule type="cellIs" dxfId="180" priority="12" operator="lessThan">
      <formula>25</formula>
    </cfRule>
  </conditionalFormatting>
  <conditionalFormatting sqref="Z36:Z37">
    <cfRule type="cellIs" dxfId="179" priority="9" operator="greaterThanOrEqual">
      <formula>25</formula>
    </cfRule>
    <cfRule type="cellIs" dxfId="178" priority="10" operator="lessThan">
      <formula>25</formula>
    </cfRule>
  </conditionalFormatting>
  <conditionalFormatting sqref="Z66:Z68">
    <cfRule type="cellIs" dxfId="177" priority="7" operator="greaterThanOrEqual">
      <formula>25</formula>
    </cfRule>
    <cfRule type="cellIs" dxfId="176" priority="8" operator="lessThan">
      <formula>25</formula>
    </cfRule>
  </conditionalFormatting>
  <conditionalFormatting sqref="Z79">
    <cfRule type="cellIs" dxfId="175" priority="5" operator="greaterThanOrEqual">
      <formula>25</formula>
    </cfRule>
    <cfRule type="cellIs" dxfId="174" priority="6" operator="lessThan">
      <formula>25</formula>
    </cfRule>
  </conditionalFormatting>
  <conditionalFormatting sqref="Z92">
    <cfRule type="cellIs" dxfId="173" priority="3" operator="greaterThanOrEqual">
      <formula>25</formula>
    </cfRule>
    <cfRule type="cellIs" dxfId="172" priority="4" operator="lessThan">
      <formula>25</formula>
    </cfRule>
  </conditionalFormatting>
  <conditionalFormatting sqref="Z80:Z81">
    <cfRule type="cellIs" dxfId="171" priority="1" operator="greaterThanOrEqual">
      <formula>25</formula>
    </cfRule>
    <cfRule type="cellIs" dxfId="170" priority="2" operator="lessThan">
      <formula>25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abSelected="1" workbookViewId="0">
      <selection activeCell="U12" sqref="P12:U12"/>
    </sheetView>
  </sheetViews>
  <sheetFormatPr baseColWidth="10" defaultRowHeight="15" x14ac:dyDescent="0.25"/>
  <cols>
    <col min="1" max="1" width="11.42578125" style="1"/>
    <col min="2" max="2" width="2" style="1" customWidth="1"/>
    <col min="3" max="3" width="12" style="1" bestFit="1" customWidth="1"/>
    <col min="4" max="4" width="2.42578125" style="1" customWidth="1"/>
    <col min="5" max="5" width="10.140625" style="1" customWidth="1"/>
    <col min="6" max="6" width="16.7109375" style="1" customWidth="1"/>
    <col min="7" max="7" width="3.7109375" style="1" customWidth="1"/>
    <col min="8" max="9" width="11.42578125" style="1"/>
    <col min="10" max="10" width="6.85546875" style="1" customWidth="1"/>
    <col min="11" max="11" width="2.28515625" style="1" customWidth="1"/>
    <col min="12" max="12" width="11.5703125" customWidth="1"/>
    <col min="13" max="13" width="11.42578125" style="1"/>
    <col min="14" max="14" width="13.28515625" style="1" customWidth="1"/>
    <col min="15" max="15" width="1.5703125" style="1" customWidth="1"/>
    <col min="16" max="16" width="11.140625" style="1" customWidth="1"/>
    <col min="17" max="17" width="7.42578125" style="1" customWidth="1"/>
    <col min="18" max="18" width="11.140625" style="1" customWidth="1"/>
    <col min="19" max="19" width="5.42578125" style="1" customWidth="1"/>
    <col min="20" max="20" width="9" style="1" customWidth="1"/>
    <col min="21" max="16384" width="11.42578125" style="1"/>
  </cols>
  <sheetData>
    <row r="1" spans="1:21" ht="14.25" x14ac:dyDescent="0.2">
      <c r="L1" s="1"/>
    </row>
    <row r="2" spans="1:21" ht="14.25" x14ac:dyDescent="0.2">
      <c r="L2" s="1"/>
    </row>
    <row r="3" spans="1:21" ht="14.25" x14ac:dyDescent="0.2">
      <c r="L3" s="1"/>
    </row>
    <row r="4" spans="1:21" ht="14.25" x14ac:dyDescent="0.2">
      <c r="L4" s="1"/>
    </row>
    <row r="5" spans="1:21" ht="14.25" x14ac:dyDescent="0.2">
      <c r="L5" s="1" t="s">
        <v>90</v>
      </c>
      <c r="R5" s="18" t="s">
        <v>88</v>
      </c>
    </row>
    <row r="6" spans="1:21" ht="14.25" x14ac:dyDescent="0.2">
      <c r="L6" s="1" t="s">
        <v>91</v>
      </c>
      <c r="R6" s="18" t="s">
        <v>89</v>
      </c>
    </row>
    <row r="7" spans="1:21" ht="14.25" x14ac:dyDescent="0.2">
      <c r="L7" s="1" t="s">
        <v>87</v>
      </c>
    </row>
    <row r="8" spans="1:21" ht="14.25" x14ac:dyDescent="0.2">
      <c r="L8" s="1"/>
    </row>
    <row r="9" spans="1:21" ht="14.25" x14ac:dyDescent="0.2">
      <c r="L9" s="1"/>
    </row>
    <row r="10" spans="1:21" ht="14.25" x14ac:dyDescent="0.2">
      <c r="A10" s="1" t="s">
        <v>24</v>
      </c>
      <c r="B10" s="18" t="s">
        <v>177</v>
      </c>
      <c r="L10" s="1"/>
    </row>
    <row r="11" spans="1:21" ht="14.25" x14ac:dyDescent="0.2">
      <c r="L11" s="12" t="s">
        <v>83</v>
      </c>
      <c r="M11" s="13"/>
      <c r="N11" s="13"/>
      <c r="O11" s="13" t="s">
        <v>69</v>
      </c>
      <c r="P11" s="13">
        <f>IF(AND(R5="Oui",R6="Non"),H97,0)</f>
        <v>0</v>
      </c>
      <c r="Q11" s="13" t="s">
        <v>84</v>
      </c>
      <c r="R11" s="13">
        <f>IF(R5="Oui",H47,0)</f>
        <v>0</v>
      </c>
      <c r="S11" s="13" t="s">
        <v>85</v>
      </c>
      <c r="T11" s="13">
        <f>P11/10+R11/4</f>
        <v>0</v>
      </c>
      <c r="U11" s="13" t="s">
        <v>70</v>
      </c>
    </row>
    <row r="12" spans="1:21" ht="14.25" x14ac:dyDescent="0.2">
      <c r="A12" s="21" t="s">
        <v>178</v>
      </c>
      <c r="B12" s="20"/>
      <c r="L12" s="12" t="s">
        <v>86</v>
      </c>
      <c r="M12" s="13"/>
      <c r="N12" s="13"/>
      <c r="O12" s="13" t="s">
        <v>69</v>
      </c>
      <c r="P12" s="13">
        <f>IF(AND(R5="Non",R6="Oui"),H47,0)</f>
        <v>67644</v>
      </c>
      <c r="Q12" s="13" t="s">
        <v>84</v>
      </c>
      <c r="R12" s="13">
        <f>IF(R6="Oui",H97,0)</f>
        <v>18916</v>
      </c>
      <c r="S12" s="13" t="s">
        <v>85</v>
      </c>
      <c r="T12" s="13">
        <f>P12/10+R12/4</f>
        <v>11493.4</v>
      </c>
      <c r="U12" s="13" t="s">
        <v>70</v>
      </c>
    </row>
    <row r="13" spans="1:21" ht="14.25" x14ac:dyDescent="0.2">
      <c r="A13" s="18" t="s">
        <v>185</v>
      </c>
      <c r="L13" s="1"/>
    </row>
    <row r="14" spans="1:21" ht="14.25" x14ac:dyDescent="0.2">
      <c r="A14" s="19">
        <v>161</v>
      </c>
      <c r="B14" s="1" t="s">
        <v>66</v>
      </c>
      <c r="C14" s="19">
        <v>10</v>
      </c>
      <c r="D14" s="1" t="s">
        <v>48</v>
      </c>
      <c r="E14" s="1">
        <f>A14-C14</f>
        <v>151</v>
      </c>
      <c r="F14" s="1" t="s">
        <v>186</v>
      </c>
      <c r="G14" s="1" t="s">
        <v>11</v>
      </c>
      <c r="H14" s="15">
        <f>8*E14</f>
        <v>1208</v>
      </c>
      <c r="I14" s="1" t="s">
        <v>67</v>
      </c>
      <c r="L14" s="1"/>
    </row>
    <row r="15" spans="1:21" ht="14.25" x14ac:dyDescent="0.2">
      <c r="A15" s="19">
        <v>353</v>
      </c>
      <c r="B15" s="1" t="s">
        <v>66</v>
      </c>
      <c r="C15" s="19">
        <v>22</v>
      </c>
      <c r="D15" s="1" t="s">
        <v>48</v>
      </c>
      <c r="E15" s="1">
        <f t="shared" ref="E15:E19" si="0">A15-C15</f>
        <v>331</v>
      </c>
      <c r="F15" s="1" t="s">
        <v>189</v>
      </c>
      <c r="G15" s="1" t="s">
        <v>11</v>
      </c>
      <c r="H15" s="15">
        <f>12*E15</f>
        <v>3972</v>
      </c>
      <c r="I15" s="1" t="s">
        <v>67</v>
      </c>
      <c r="L15" s="1"/>
    </row>
    <row r="16" spans="1:21" ht="14.25" x14ac:dyDescent="0.2">
      <c r="A16" s="19">
        <v>299</v>
      </c>
      <c r="B16" s="1" t="s">
        <v>66</v>
      </c>
      <c r="C16" s="19">
        <v>18</v>
      </c>
      <c r="D16" s="1" t="s">
        <v>48</v>
      </c>
      <c r="E16" s="1">
        <f t="shared" si="0"/>
        <v>281</v>
      </c>
      <c r="F16" s="1" t="s">
        <v>187</v>
      </c>
      <c r="G16" s="1" t="s">
        <v>11</v>
      </c>
      <c r="H16" s="15">
        <f>14*E16</f>
        <v>3934</v>
      </c>
      <c r="I16" s="1" t="s">
        <v>67</v>
      </c>
      <c r="L16" s="1"/>
    </row>
    <row r="17" spans="1:12" ht="14.25" x14ac:dyDescent="0.2">
      <c r="A17" s="19">
        <v>2240</v>
      </c>
      <c r="B17" s="1" t="s">
        <v>66</v>
      </c>
      <c r="C17" s="19">
        <v>138</v>
      </c>
      <c r="D17" s="1" t="s">
        <v>48</v>
      </c>
      <c r="E17" s="1">
        <f t="shared" si="0"/>
        <v>2102</v>
      </c>
      <c r="F17" s="1" t="s">
        <v>134</v>
      </c>
      <c r="G17" s="1" t="s">
        <v>11</v>
      </c>
      <c r="H17" s="15">
        <f>10*E17</f>
        <v>21020</v>
      </c>
      <c r="I17" s="1" t="s">
        <v>67</v>
      </c>
      <c r="L17" s="1"/>
    </row>
    <row r="18" spans="1:12" ht="14.25" x14ac:dyDescent="0.2">
      <c r="A18" s="19">
        <v>99</v>
      </c>
      <c r="B18" s="1" t="s">
        <v>66</v>
      </c>
      <c r="C18" s="19">
        <v>6</v>
      </c>
      <c r="D18" s="1" t="s">
        <v>48</v>
      </c>
      <c r="E18" s="1">
        <f t="shared" si="0"/>
        <v>93</v>
      </c>
      <c r="F18" s="1" t="s">
        <v>14</v>
      </c>
      <c r="G18" s="1" t="s">
        <v>11</v>
      </c>
      <c r="H18" s="15">
        <f>150*E18</f>
        <v>13950</v>
      </c>
      <c r="I18" s="1" t="s">
        <v>67</v>
      </c>
      <c r="L18" s="1"/>
    </row>
    <row r="19" spans="1:12" ht="14.25" x14ac:dyDescent="0.2">
      <c r="A19" s="19">
        <v>628</v>
      </c>
      <c r="B19" s="1" t="s">
        <v>66</v>
      </c>
      <c r="C19" s="19">
        <v>39</v>
      </c>
      <c r="D19" s="1" t="s">
        <v>48</v>
      </c>
      <c r="E19" s="1">
        <f t="shared" si="0"/>
        <v>589</v>
      </c>
      <c r="F19" s="1" t="s">
        <v>188</v>
      </c>
      <c r="G19" s="1" t="s">
        <v>11</v>
      </c>
      <c r="H19" s="15">
        <f>40*E19</f>
        <v>23560</v>
      </c>
      <c r="I19" s="1" t="s">
        <v>67</v>
      </c>
      <c r="L19" s="1"/>
    </row>
    <row r="21" spans="1:12" x14ac:dyDescent="0.25">
      <c r="A21" s="1" t="s">
        <v>68</v>
      </c>
      <c r="E21" s="1" t="str">
        <f>A12</f>
        <v>Le Fléau des Cendres</v>
      </c>
      <c r="G21" s="31" t="s">
        <v>69</v>
      </c>
      <c r="H21" s="12">
        <f>H14+H15+H16+H17+H18+H19</f>
        <v>67644</v>
      </c>
      <c r="I21" s="8" t="s">
        <v>70</v>
      </c>
    </row>
    <row r="24" spans="1:12" x14ac:dyDescent="0.25">
      <c r="A24" s="21" t="s">
        <v>21</v>
      </c>
      <c r="B24" s="20"/>
    </row>
    <row r="25" spans="1:12" x14ac:dyDescent="0.25">
      <c r="A25" s="18" t="s">
        <v>19</v>
      </c>
    </row>
    <row r="26" spans="1:12" x14ac:dyDescent="0.25">
      <c r="A26" s="19"/>
      <c r="B26" s="1" t="s">
        <v>66</v>
      </c>
      <c r="C26" s="19"/>
      <c r="D26" s="1" t="s">
        <v>48</v>
      </c>
      <c r="E26" s="1">
        <f>A26-C26</f>
        <v>0</v>
      </c>
      <c r="F26" s="1" t="s">
        <v>18</v>
      </c>
      <c r="G26" s="1" t="s">
        <v>11</v>
      </c>
      <c r="H26" s="15">
        <f>8*E26</f>
        <v>0</v>
      </c>
      <c r="I26" s="1" t="s">
        <v>67</v>
      </c>
    </row>
    <row r="27" spans="1:12" x14ac:dyDescent="0.25">
      <c r="A27" s="19"/>
      <c r="B27" s="1" t="s">
        <v>66</v>
      </c>
      <c r="C27" s="19"/>
      <c r="D27" s="1" t="s">
        <v>48</v>
      </c>
      <c r="E27" s="1">
        <f t="shared" ref="E27:E31" si="1">A27-C27</f>
        <v>0</v>
      </c>
      <c r="F27" s="1" t="s">
        <v>17</v>
      </c>
      <c r="G27" s="1" t="s">
        <v>11</v>
      </c>
      <c r="H27" s="15">
        <f>12*E27</f>
        <v>0</v>
      </c>
      <c r="I27" s="1" t="s">
        <v>67</v>
      </c>
    </row>
    <row r="28" spans="1:12" x14ac:dyDescent="0.25">
      <c r="A28" s="19"/>
      <c r="B28" s="1" t="s">
        <v>66</v>
      </c>
      <c r="C28" s="19"/>
      <c r="D28" s="1" t="s">
        <v>48</v>
      </c>
      <c r="E28" s="1">
        <f t="shared" si="1"/>
        <v>0</v>
      </c>
      <c r="F28" s="1" t="s">
        <v>16</v>
      </c>
      <c r="G28" s="1" t="s">
        <v>11</v>
      </c>
      <c r="H28" s="15">
        <f>14*E28</f>
        <v>0</v>
      </c>
      <c r="I28" s="1" t="s">
        <v>67</v>
      </c>
    </row>
    <row r="29" spans="1:12" x14ac:dyDescent="0.25">
      <c r="A29" s="19"/>
      <c r="B29" s="1" t="s">
        <v>66</v>
      </c>
      <c r="C29" s="19"/>
      <c r="D29" s="1" t="s">
        <v>48</v>
      </c>
      <c r="E29" s="1">
        <f t="shared" si="1"/>
        <v>0</v>
      </c>
      <c r="F29" s="1" t="s">
        <v>15</v>
      </c>
      <c r="G29" s="1" t="s">
        <v>11</v>
      </c>
      <c r="H29" s="15">
        <f>10*E29</f>
        <v>0</v>
      </c>
      <c r="I29" s="1" t="s">
        <v>67</v>
      </c>
    </row>
    <row r="30" spans="1:12" x14ac:dyDescent="0.25">
      <c r="A30" s="19"/>
      <c r="B30" s="1" t="s">
        <v>66</v>
      </c>
      <c r="C30" s="19"/>
      <c r="D30" s="1" t="s">
        <v>48</v>
      </c>
      <c r="E30" s="1">
        <f t="shared" si="1"/>
        <v>0</v>
      </c>
      <c r="F30" s="1" t="s">
        <v>14</v>
      </c>
      <c r="G30" s="1" t="s">
        <v>11</v>
      </c>
      <c r="H30" s="15">
        <f>150*E30</f>
        <v>0</v>
      </c>
      <c r="I30" s="1" t="s">
        <v>67</v>
      </c>
    </row>
    <row r="31" spans="1:12" x14ac:dyDescent="0.25">
      <c r="A31" s="19"/>
      <c r="B31" s="1" t="s">
        <v>66</v>
      </c>
      <c r="C31" s="19"/>
      <c r="D31" s="1" t="s">
        <v>48</v>
      </c>
      <c r="E31" s="1">
        <f t="shared" si="1"/>
        <v>0</v>
      </c>
      <c r="F31" s="1" t="s">
        <v>12</v>
      </c>
      <c r="G31" s="1" t="s">
        <v>11</v>
      </c>
      <c r="H31" s="15">
        <f>40*E31</f>
        <v>0</v>
      </c>
      <c r="I31" s="1" t="s">
        <v>67</v>
      </c>
    </row>
    <row r="33" spans="1:9" x14ac:dyDescent="0.25">
      <c r="A33" s="1" t="s">
        <v>68</v>
      </c>
      <c r="E33" s="1" t="str">
        <f>A24</f>
        <v># Nom de l'Armée #2</v>
      </c>
      <c r="G33" s="31" t="s">
        <v>69</v>
      </c>
      <c r="H33" s="12">
        <f>H26+H27+H28+H29+H30+H31</f>
        <v>0</v>
      </c>
      <c r="I33" s="8" t="s">
        <v>70</v>
      </c>
    </row>
    <row r="36" spans="1:9" x14ac:dyDescent="0.25">
      <c r="A36" s="21" t="s">
        <v>20</v>
      </c>
      <c r="B36" s="20"/>
    </row>
    <row r="37" spans="1:9" x14ac:dyDescent="0.25">
      <c r="A37" s="18" t="s">
        <v>19</v>
      </c>
    </row>
    <row r="38" spans="1:9" x14ac:dyDescent="0.25">
      <c r="A38" s="19"/>
      <c r="B38" s="1" t="s">
        <v>66</v>
      </c>
      <c r="C38" s="19"/>
      <c r="D38" s="1" t="s">
        <v>48</v>
      </c>
      <c r="E38" s="1">
        <f>A38-C38</f>
        <v>0</v>
      </c>
      <c r="F38" s="1" t="s">
        <v>18</v>
      </c>
      <c r="G38" s="1" t="s">
        <v>11</v>
      </c>
      <c r="H38" s="15">
        <f>8*E38</f>
        <v>0</v>
      </c>
      <c r="I38" s="1" t="s">
        <v>67</v>
      </c>
    </row>
    <row r="39" spans="1:9" x14ac:dyDescent="0.25">
      <c r="A39" s="19"/>
      <c r="B39" s="1" t="s">
        <v>66</v>
      </c>
      <c r="C39" s="19"/>
      <c r="D39" s="1" t="s">
        <v>48</v>
      </c>
      <c r="E39" s="1">
        <f t="shared" ref="E39:E43" si="2">A39-C39</f>
        <v>0</v>
      </c>
      <c r="F39" s="1" t="s">
        <v>17</v>
      </c>
      <c r="G39" s="1" t="s">
        <v>11</v>
      </c>
      <c r="H39" s="15">
        <f>12*E39</f>
        <v>0</v>
      </c>
      <c r="I39" s="1" t="s">
        <v>67</v>
      </c>
    </row>
    <row r="40" spans="1:9" x14ac:dyDescent="0.25">
      <c r="A40" s="19"/>
      <c r="B40" s="1" t="s">
        <v>66</v>
      </c>
      <c r="C40" s="19"/>
      <c r="D40" s="1" t="s">
        <v>48</v>
      </c>
      <c r="E40" s="1">
        <f t="shared" si="2"/>
        <v>0</v>
      </c>
      <c r="F40" s="1" t="s">
        <v>16</v>
      </c>
      <c r="G40" s="1" t="s">
        <v>11</v>
      </c>
      <c r="H40" s="15">
        <f>14*E40</f>
        <v>0</v>
      </c>
      <c r="I40" s="1" t="s">
        <v>67</v>
      </c>
    </row>
    <row r="41" spans="1:9" x14ac:dyDescent="0.25">
      <c r="A41" s="19"/>
      <c r="B41" s="1" t="s">
        <v>66</v>
      </c>
      <c r="C41" s="19"/>
      <c r="D41" s="1" t="s">
        <v>48</v>
      </c>
      <c r="E41" s="1">
        <f t="shared" si="2"/>
        <v>0</v>
      </c>
      <c r="F41" s="1" t="s">
        <v>15</v>
      </c>
      <c r="G41" s="1" t="s">
        <v>11</v>
      </c>
      <c r="H41" s="15">
        <f>10*E41</f>
        <v>0</v>
      </c>
      <c r="I41" s="1" t="s">
        <v>67</v>
      </c>
    </row>
    <row r="42" spans="1:9" x14ac:dyDescent="0.25">
      <c r="A42" s="19"/>
      <c r="B42" s="1" t="s">
        <v>66</v>
      </c>
      <c r="C42" s="19"/>
      <c r="D42" s="1" t="s">
        <v>48</v>
      </c>
      <c r="E42" s="1">
        <f t="shared" si="2"/>
        <v>0</v>
      </c>
      <c r="F42" s="1" t="s">
        <v>14</v>
      </c>
      <c r="G42" s="1" t="s">
        <v>11</v>
      </c>
      <c r="H42" s="15">
        <f>150*E42</f>
        <v>0</v>
      </c>
      <c r="I42" s="1" t="s">
        <v>67</v>
      </c>
    </row>
    <row r="43" spans="1:9" x14ac:dyDescent="0.25">
      <c r="A43" s="19"/>
      <c r="B43" s="1" t="s">
        <v>66</v>
      </c>
      <c r="C43" s="19"/>
      <c r="D43" s="1" t="s">
        <v>48</v>
      </c>
      <c r="E43" s="1">
        <f t="shared" si="2"/>
        <v>0</v>
      </c>
      <c r="F43" s="1" t="s">
        <v>12</v>
      </c>
      <c r="G43" s="1" t="s">
        <v>11</v>
      </c>
      <c r="H43" s="15">
        <f>40*E43</f>
        <v>0</v>
      </c>
      <c r="I43" s="1" t="s">
        <v>67</v>
      </c>
    </row>
    <row r="44" spans="1:9" x14ac:dyDescent="0.25">
      <c r="A44" s="19"/>
      <c r="C44" s="19"/>
      <c r="H44" s="15"/>
    </row>
    <row r="45" spans="1:9" x14ac:dyDescent="0.25">
      <c r="A45" s="1" t="s">
        <v>68</v>
      </c>
      <c r="E45" s="1" t="str">
        <f>A36</f>
        <v># Nom de l'Armée #3</v>
      </c>
      <c r="G45" s="31" t="s">
        <v>69</v>
      </c>
      <c r="H45" s="12">
        <f>H38+H39+H40+H41+H42+H43</f>
        <v>0</v>
      </c>
      <c r="I45" s="8" t="s">
        <v>70</v>
      </c>
    </row>
    <row r="47" spans="1:9" x14ac:dyDescent="0.25">
      <c r="A47" s="8" t="s">
        <v>93</v>
      </c>
      <c r="B47" s="8"/>
      <c r="C47" s="8"/>
      <c r="D47" s="8"/>
      <c r="E47" s="8"/>
      <c r="H47" s="12">
        <f>H21+H33+H45</f>
        <v>67644</v>
      </c>
      <c r="I47" s="8" t="s">
        <v>70</v>
      </c>
    </row>
    <row r="48" spans="1:9" x14ac:dyDescent="0.25">
      <c r="A48" s="8"/>
      <c r="B48" s="8"/>
      <c r="C48" s="8"/>
      <c r="D48" s="8"/>
      <c r="E48" s="8"/>
      <c r="G48" s="12"/>
      <c r="H48" s="8"/>
    </row>
    <row r="49" spans="1:12" ht="14.25" x14ac:dyDescent="0.2">
      <c r="A49" s="7" t="s">
        <v>71</v>
      </c>
      <c r="F49" s="12">
        <f>H47</f>
        <v>67644</v>
      </c>
      <c r="G49" s="8" t="s">
        <v>72</v>
      </c>
      <c r="H49" s="8">
        <f>1+C52/100+C51/100</f>
        <v>1.25</v>
      </c>
      <c r="I49" s="8" t="s">
        <v>72</v>
      </c>
      <c r="J49" s="8">
        <f>IF(C54="",1,C54)</f>
        <v>1</v>
      </c>
      <c r="K49" s="8" t="s">
        <v>48</v>
      </c>
      <c r="L49" s="12">
        <f>F49*H49*J49</f>
        <v>84555</v>
      </c>
    </row>
    <row r="50" spans="1:12" x14ac:dyDescent="0.25">
      <c r="A50" s="1" t="s">
        <v>73</v>
      </c>
    </row>
    <row r="51" spans="1:12" x14ac:dyDescent="0.25">
      <c r="A51" s="1" t="s">
        <v>81</v>
      </c>
      <c r="B51" s="1" t="s">
        <v>34</v>
      </c>
      <c r="C51" s="18">
        <v>25</v>
      </c>
      <c r="D51" s="1" t="s">
        <v>6</v>
      </c>
      <c r="E51" s="1" t="s">
        <v>76</v>
      </c>
      <c r="F51" s="1" t="s">
        <v>79</v>
      </c>
    </row>
    <row r="52" spans="1:12" x14ac:dyDescent="0.25">
      <c r="A52" s="1" t="s">
        <v>81</v>
      </c>
      <c r="B52" s="1" t="s">
        <v>34</v>
      </c>
      <c r="C52" s="18"/>
      <c r="D52" s="1" t="s">
        <v>6</v>
      </c>
      <c r="E52" s="1" t="s">
        <v>76</v>
      </c>
      <c r="F52" s="1" t="s">
        <v>82</v>
      </c>
    </row>
    <row r="53" spans="1:12" x14ac:dyDescent="0.25">
      <c r="A53" s="1" t="s">
        <v>74</v>
      </c>
    </row>
    <row r="54" spans="1:12" x14ac:dyDescent="0.25">
      <c r="A54" s="1" t="s">
        <v>81</v>
      </c>
      <c r="B54" s="1" t="s">
        <v>75</v>
      </c>
      <c r="C54" s="18"/>
      <c r="E54" s="1" t="s">
        <v>77</v>
      </c>
    </row>
    <row r="56" spans="1:12" x14ac:dyDescent="0.25">
      <c r="C56"/>
    </row>
    <row r="58" spans="1:12" ht="3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</row>
    <row r="60" spans="1:12" x14ac:dyDescent="0.25">
      <c r="A60" s="1" t="s">
        <v>24</v>
      </c>
      <c r="B60" s="18" t="s">
        <v>96</v>
      </c>
    </row>
    <row r="62" spans="1:12" ht="15" customHeight="1" x14ac:dyDescent="0.25">
      <c r="A62" s="21" t="s">
        <v>184</v>
      </c>
      <c r="B62" s="20"/>
    </row>
    <row r="63" spans="1:12" x14ac:dyDescent="0.25">
      <c r="A63" s="18" t="s">
        <v>185</v>
      </c>
    </row>
    <row r="64" spans="1:12" x14ac:dyDescent="0.25">
      <c r="A64" s="19"/>
      <c r="B64" s="1" t="s">
        <v>66</v>
      </c>
      <c r="C64" s="19"/>
      <c r="D64" s="1" t="s">
        <v>48</v>
      </c>
      <c r="E64" s="1">
        <f>A64-C64</f>
        <v>0</v>
      </c>
      <c r="F64" s="1" t="s">
        <v>18</v>
      </c>
      <c r="G64" s="1" t="s">
        <v>11</v>
      </c>
      <c r="H64" s="15">
        <f>8*E64</f>
        <v>0</v>
      </c>
      <c r="I64" s="1" t="s">
        <v>67</v>
      </c>
    </row>
    <row r="65" spans="1:9" x14ac:dyDescent="0.25">
      <c r="A65" s="19">
        <v>2500</v>
      </c>
      <c r="B65" s="1" t="s">
        <v>66</v>
      </c>
      <c r="C65" s="19">
        <v>2277</v>
      </c>
      <c r="D65" s="1" t="s">
        <v>48</v>
      </c>
      <c r="E65" s="1">
        <f t="shared" ref="E65:E69" si="3">A65-C65</f>
        <v>223</v>
      </c>
      <c r="F65" s="1" t="s">
        <v>17</v>
      </c>
      <c r="G65" s="1" t="s">
        <v>11</v>
      </c>
      <c r="H65" s="15">
        <f>12*E65</f>
        <v>2676</v>
      </c>
      <c r="I65" s="1" t="s">
        <v>67</v>
      </c>
    </row>
    <row r="66" spans="1:9" x14ac:dyDescent="0.25">
      <c r="A66" s="19"/>
      <c r="B66" s="1" t="s">
        <v>66</v>
      </c>
      <c r="C66" s="19"/>
      <c r="D66" s="1" t="s">
        <v>48</v>
      </c>
      <c r="E66" s="1">
        <f t="shared" si="3"/>
        <v>0</v>
      </c>
      <c r="F66" s="1" t="s">
        <v>16</v>
      </c>
      <c r="G66" s="1" t="s">
        <v>11</v>
      </c>
      <c r="H66" s="15">
        <f>14*E66</f>
        <v>0</v>
      </c>
      <c r="I66" s="1" t="s">
        <v>67</v>
      </c>
    </row>
    <row r="67" spans="1:9" x14ac:dyDescent="0.25">
      <c r="A67" s="19">
        <v>3000</v>
      </c>
      <c r="B67" s="1" t="s">
        <v>66</v>
      </c>
      <c r="C67" s="19">
        <v>2732</v>
      </c>
      <c r="D67" s="1" t="s">
        <v>48</v>
      </c>
      <c r="E67" s="1">
        <f t="shared" si="3"/>
        <v>268</v>
      </c>
      <c r="F67" s="1" t="s">
        <v>15</v>
      </c>
      <c r="G67" s="1" t="s">
        <v>11</v>
      </c>
      <c r="H67" s="15">
        <f>10*E67</f>
        <v>2680</v>
      </c>
      <c r="I67" s="1" t="s">
        <v>67</v>
      </c>
    </row>
    <row r="68" spans="1:9" x14ac:dyDescent="0.25">
      <c r="A68" s="19">
        <v>850</v>
      </c>
      <c r="B68" s="1" t="s">
        <v>66</v>
      </c>
      <c r="C68" s="19">
        <v>774</v>
      </c>
      <c r="D68" s="1" t="s">
        <v>48</v>
      </c>
      <c r="E68" s="1">
        <f t="shared" si="3"/>
        <v>76</v>
      </c>
      <c r="F68" s="1" t="s">
        <v>14</v>
      </c>
      <c r="G68" s="1" t="s">
        <v>11</v>
      </c>
      <c r="H68" s="15">
        <f>150*E68</f>
        <v>11400</v>
      </c>
      <c r="I68" s="1" t="s">
        <v>67</v>
      </c>
    </row>
    <row r="69" spans="1:9" x14ac:dyDescent="0.25">
      <c r="A69" s="19">
        <v>600</v>
      </c>
      <c r="B69" s="1" t="s">
        <v>66</v>
      </c>
      <c r="C69" s="19">
        <v>546</v>
      </c>
      <c r="D69" s="1" t="s">
        <v>48</v>
      </c>
      <c r="E69" s="1">
        <f t="shared" si="3"/>
        <v>54</v>
      </c>
      <c r="F69" s="1" t="s">
        <v>114</v>
      </c>
      <c r="G69" s="1" t="s">
        <v>11</v>
      </c>
      <c r="H69" s="15">
        <f>40*E69</f>
        <v>2160</v>
      </c>
      <c r="I69" s="1" t="s">
        <v>67</v>
      </c>
    </row>
    <row r="71" spans="1:9" x14ac:dyDescent="0.25">
      <c r="A71" s="1" t="s">
        <v>68</v>
      </c>
      <c r="E71" s="1" t="str">
        <f>A62</f>
        <v>Garnison Urbaine de Leyawiin</v>
      </c>
      <c r="G71" s="31" t="s">
        <v>69</v>
      </c>
      <c r="H71" s="12">
        <f>H64+H65+H66+H67+H68+H69</f>
        <v>18916</v>
      </c>
      <c r="I71" s="8" t="s">
        <v>70</v>
      </c>
    </row>
    <row r="74" spans="1:9" x14ac:dyDescent="0.25">
      <c r="A74" s="21" t="s">
        <v>180</v>
      </c>
      <c r="B74" s="20"/>
    </row>
    <row r="75" spans="1:9" x14ac:dyDescent="0.25">
      <c r="A75" s="18" t="s">
        <v>19</v>
      </c>
    </row>
    <row r="76" spans="1:9" x14ac:dyDescent="0.25">
      <c r="A76" s="19"/>
      <c r="B76" s="1" t="s">
        <v>66</v>
      </c>
      <c r="C76" s="19"/>
      <c r="D76" s="1" t="s">
        <v>48</v>
      </c>
      <c r="E76" s="1">
        <f>A76-C76</f>
        <v>0</v>
      </c>
      <c r="F76" s="1" t="s">
        <v>18</v>
      </c>
      <c r="G76" s="1" t="s">
        <v>11</v>
      </c>
      <c r="H76" s="15">
        <f>8*E76</f>
        <v>0</v>
      </c>
      <c r="I76" s="1" t="s">
        <v>67</v>
      </c>
    </row>
    <row r="77" spans="1:9" x14ac:dyDescent="0.25">
      <c r="A77" s="19"/>
      <c r="B77" s="1" t="s">
        <v>66</v>
      </c>
      <c r="C77" s="19"/>
      <c r="D77" s="1" t="s">
        <v>48</v>
      </c>
      <c r="E77" s="1">
        <f t="shared" ref="E77:E81" si="4">A77-C77</f>
        <v>0</v>
      </c>
      <c r="F77" s="1" t="s">
        <v>17</v>
      </c>
      <c r="G77" s="1" t="s">
        <v>11</v>
      </c>
      <c r="H77" s="15">
        <f>12*E77</f>
        <v>0</v>
      </c>
      <c r="I77" s="1" t="s">
        <v>67</v>
      </c>
    </row>
    <row r="78" spans="1:9" x14ac:dyDescent="0.25">
      <c r="A78" s="19"/>
      <c r="B78" s="1" t="s">
        <v>66</v>
      </c>
      <c r="C78" s="19"/>
      <c r="D78" s="1" t="s">
        <v>48</v>
      </c>
      <c r="E78" s="1">
        <f t="shared" si="4"/>
        <v>0</v>
      </c>
      <c r="F78" s="1" t="s">
        <v>16</v>
      </c>
      <c r="G78" s="1" t="s">
        <v>11</v>
      </c>
      <c r="H78" s="15">
        <f>14*E78</f>
        <v>0</v>
      </c>
      <c r="I78" s="1" t="s">
        <v>67</v>
      </c>
    </row>
    <row r="79" spans="1:9" x14ac:dyDescent="0.25">
      <c r="A79" s="19"/>
      <c r="B79" s="1" t="s">
        <v>66</v>
      </c>
      <c r="C79" s="19"/>
      <c r="D79" s="1" t="s">
        <v>48</v>
      </c>
      <c r="E79" s="1">
        <f t="shared" si="4"/>
        <v>0</v>
      </c>
      <c r="F79" s="1" t="s">
        <v>15</v>
      </c>
      <c r="G79" s="1" t="s">
        <v>11</v>
      </c>
      <c r="H79" s="15">
        <f>10*E79</f>
        <v>0</v>
      </c>
      <c r="I79" s="1" t="s">
        <v>67</v>
      </c>
    </row>
    <row r="80" spans="1:9" x14ac:dyDescent="0.25">
      <c r="A80" s="19"/>
      <c r="B80" s="1" t="s">
        <v>66</v>
      </c>
      <c r="C80" s="19"/>
      <c r="D80" s="1" t="s">
        <v>48</v>
      </c>
      <c r="E80" s="1">
        <f t="shared" si="4"/>
        <v>0</v>
      </c>
      <c r="F80" s="1" t="s">
        <v>14</v>
      </c>
      <c r="G80" s="1" t="s">
        <v>11</v>
      </c>
      <c r="H80" s="15">
        <f>150*E80</f>
        <v>0</v>
      </c>
      <c r="I80" s="1" t="s">
        <v>67</v>
      </c>
    </row>
    <row r="81" spans="1:9" x14ac:dyDescent="0.25">
      <c r="A81" s="19"/>
      <c r="B81" s="1" t="s">
        <v>66</v>
      </c>
      <c r="C81" s="19"/>
      <c r="D81" s="1" t="s">
        <v>48</v>
      </c>
      <c r="E81" s="1">
        <f t="shared" si="4"/>
        <v>0</v>
      </c>
      <c r="F81" s="1" t="s">
        <v>94</v>
      </c>
      <c r="G81" s="1" t="s">
        <v>11</v>
      </c>
      <c r="H81" s="15">
        <f>40*E81</f>
        <v>0</v>
      </c>
      <c r="I81" s="1" t="s">
        <v>67</v>
      </c>
    </row>
    <row r="83" spans="1:9" x14ac:dyDescent="0.25">
      <c r="A83" s="1" t="s">
        <v>68</v>
      </c>
      <c r="E83" s="1" t="str">
        <f>A74</f>
        <v>L'Ombre Impériale</v>
      </c>
      <c r="G83" s="31" t="s">
        <v>69</v>
      </c>
      <c r="H83" s="12">
        <f>H76+H77+H78+H79+H80+H81</f>
        <v>0</v>
      </c>
      <c r="I83" s="8" t="s">
        <v>70</v>
      </c>
    </row>
    <row r="86" spans="1:9" x14ac:dyDescent="0.25">
      <c r="A86" s="21" t="s">
        <v>182</v>
      </c>
      <c r="B86" s="20"/>
    </row>
    <row r="87" spans="1:9" x14ac:dyDescent="0.25">
      <c r="A87" s="18" t="s">
        <v>183</v>
      </c>
    </row>
    <row r="88" spans="1:9" x14ac:dyDescent="0.25">
      <c r="A88" s="19"/>
      <c r="B88" s="1" t="s">
        <v>66</v>
      </c>
      <c r="C88" s="19"/>
      <c r="D88" s="1" t="s">
        <v>48</v>
      </c>
      <c r="E88" s="1">
        <f>A88-C88</f>
        <v>0</v>
      </c>
      <c r="F88" s="1" t="s">
        <v>18</v>
      </c>
      <c r="G88" s="1" t="s">
        <v>11</v>
      </c>
      <c r="H88" s="15">
        <f>8*E88</f>
        <v>0</v>
      </c>
      <c r="I88" s="1" t="s">
        <v>67</v>
      </c>
    </row>
    <row r="89" spans="1:9" x14ac:dyDescent="0.25">
      <c r="A89" s="19"/>
      <c r="B89" s="1" t="s">
        <v>66</v>
      </c>
      <c r="C89" s="19"/>
      <c r="D89" s="1" t="s">
        <v>48</v>
      </c>
      <c r="E89" s="1">
        <f t="shared" ref="E89:E93" si="5">A89-C89</f>
        <v>0</v>
      </c>
      <c r="F89" s="1" t="s">
        <v>17</v>
      </c>
      <c r="G89" s="1" t="s">
        <v>11</v>
      </c>
      <c r="H89" s="15">
        <f>12*E89</f>
        <v>0</v>
      </c>
      <c r="I89" s="1" t="s">
        <v>67</v>
      </c>
    </row>
    <row r="90" spans="1:9" x14ac:dyDescent="0.25">
      <c r="A90" s="19"/>
      <c r="B90" s="1" t="s">
        <v>66</v>
      </c>
      <c r="C90" s="19"/>
      <c r="D90" s="1" t="s">
        <v>48</v>
      </c>
      <c r="E90" s="1">
        <f t="shared" si="5"/>
        <v>0</v>
      </c>
      <c r="F90" s="1" t="s">
        <v>16</v>
      </c>
      <c r="G90" s="1" t="s">
        <v>11</v>
      </c>
      <c r="H90" s="15">
        <f>14*E90</f>
        <v>0</v>
      </c>
      <c r="I90" s="1" t="s">
        <v>67</v>
      </c>
    </row>
    <row r="91" spans="1:9" x14ac:dyDescent="0.25">
      <c r="A91" s="19"/>
      <c r="B91" s="1" t="s">
        <v>66</v>
      </c>
      <c r="C91" s="19"/>
      <c r="D91" s="1" t="s">
        <v>48</v>
      </c>
      <c r="E91" s="1">
        <f t="shared" si="5"/>
        <v>0</v>
      </c>
      <c r="F91" s="1" t="s">
        <v>15</v>
      </c>
      <c r="G91" s="1" t="s">
        <v>11</v>
      </c>
      <c r="H91" s="15">
        <f>10*E91</f>
        <v>0</v>
      </c>
      <c r="I91" s="1" t="s">
        <v>67</v>
      </c>
    </row>
    <row r="92" spans="1:9" x14ac:dyDescent="0.25">
      <c r="A92" s="19"/>
      <c r="B92" s="1" t="s">
        <v>66</v>
      </c>
      <c r="C92" s="19"/>
      <c r="D92" s="1" t="s">
        <v>48</v>
      </c>
      <c r="E92" s="1">
        <f t="shared" si="5"/>
        <v>0</v>
      </c>
      <c r="F92" s="1" t="s">
        <v>14</v>
      </c>
      <c r="G92" s="1" t="s">
        <v>11</v>
      </c>
      <c r="H92" s="15">
        <f>150*E92</f>
        <v>0</v>
      </c>
      <c r="I92" s="1" t="s">
        <v>67</v>
      </c>
    </row>
    <row r="93" spans="1:9" x14ac:dyDescent="0.25">
      <c r="A93" s="19"/>
      <c r="B93" s="1" t="s">
        <v>66</v>
      </c>
      <c r="C93" s="19"/>
      <c r="D93" s="1" t="s">
        <v>48</v>
      </c>
      <c r="E93" s="1">
        <f t="shared" si="5"/>
        <v>0</v>
      </c>
      <c r="F93" s="1" t="s">
        <v>181</v>
      </c>
      <c r="G93" s="1" t="s">
        <v>11</v>
      </c>
      <c r="H93" s="15">
        <f>40*E93</f>
        <v>0</v>
      </c>
      <c r="I93" s="1" t="s">
        <v>67</v>
      </c>
    </row>
    <row r="95" spans="1:9" x14ac:dyDescent="0.25">
      <c r="A95" s="1" t="s">
        <v>68</v>
      </c>
      <c r="E95" s="1" t="str">
        <f>A86</f>
        <v>L'oppression de Bann Dar + La Nuit de Ja-Kha'jai</v>
      </c>
      <c r="G95" s="31" t="s">
        <v>69</v>
      </c>
      <c r="H95" s="12">
        <f>H88+H89+H90+H91+H92+H93</f>
        <v>0</v>
      </c>
      <c r="I95" s="8" t="s">
        <v>70</v>
      </c>
    </row>
    <row r="97" spans="1:12" x14ac:dyDescent="0.25">
      <c r="A97" s="8" t="s">
        <v>92</v>
      </c>
      <c r="B97" s="8"/>
      <c r="C97" s="8"/>
      <c r="D97" s="8"/>
      <c r="E97" s="8"/>
      <c r="H97" s="12">
        <f>H71+H83+H95</f>
        <v>18916</v>
      </c>
      <c r="I97" s="8" t="s">
        <v>70</v>
      </c>
    </row>
    <row r="98" spans="1:12" x14ac:dyDescent="0.25">
      <c r="A98" s="8"/>
      <c r="B98" s="8"/>
      <c r="C98" s="8"/>
      <c r="D98" s="8"/>
      <c r="E98" s="8"/>
      <c r="G98" s="12"/>
      <c r="H98" s="8"/>
    </row>
    <row r="99" spans="1:12" ht="14.25" x14ac:dyDescent="0.2">
      <c r="A99" s="7" t="s">
        <v>95</v>
      </c>
      <c r="F99" s="12">
        <f>H97</f>
        <v>18916</v>
      </c>
      <c r="G99" s="8" t="s">
        <v>72</v>
      </c>
      <c r="H99" s="8">
        <f>1+C101/100+C102/100</f>
        <v>2</v>
      </c>
      <c r="I99" s="8" t="s">
        <v>72</v>
      </c>
      <c r="J99" s="8">
        <f>IF(C104="",1,C104)</f>
        <v>1</v>
      </c>
      <c r="K99" s="8" t="s">
        <v>48</v>
      </c>
      <c r="L99" s="12">
        <f>F99*H99*J99</f>
        <v>37832</v>
      </c>
    </row>
    <row r="100" spans="1:12" x14ac:dyDescent="0.25">
      <c r="A100" s="1" t="s">
        <v>73</v>
      </c>
    </row>
    <row r="101" spans="1:12" x14ac:dyDescent="0.25">
      <c r="B101" s="1" t="s">
        <v>34</v>
      </c>
      <c r="C101" s="18"/>
      <c r="D101" s="1" t="s">
        <v>6</v>
      </c>
      <c r="E101" s="1" t="s">
        <v>76</v>
      </c>
      <c r="F101" s="1" t="s">
        <v>79</v>
      </c>
    </row>
    <row r="102" spans="1:12" x14ac:dyDescent="0.25">
      <c r="B102" s="1" t="s">
        <v>34</v>
      </c>
      <c r="C102" s="18">
        <v>100</v>
      </c>
      <c r="D102" s="1" t="s">
        <v>6</v>
      </c>
      <c r="E102" s="1" t="s">
        <v>76</v>
      </c>
      <c r="F102" s="1" t="s">
        <v>82</v>
      </c>
    </row>
    <row r="103" spans="1:12" x14ac:dyDescent="0.25">
      <c r="A103" s="1" t="s">
        <v>74</v>
      </c>
    </row>
    <row r="104" spans="1:12" x14ac:dyDescent="0.25">
      <c r="B104" s="1" t="s">
        <v>75</v>
      </c>
      <c r="C104" s="18"/>
      <c r="E104" s="1" t="s">
        <v>77</v>
      </c>
    </row>
  </sheetData>
  <conditionalFormatting sqref="R5:R6">
    <cfRule type="containsText" dxfId="1" priority="1" operator="containsText" text="Non">
      <formula>NOT(ISERROR(SEARCH("Non",R5)))</formula>
    </cfRule>
    <cfRule type="containsText" dxfId="0" priority="2" operator="containsText" text="Oui">
      <formula>NOT(ISERROR(SEARCH("Oui",R5)))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opLeftCell="A10" workbookViewId="0">
      <selection activeCell="X10" sqref="X10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8.28515625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65</v>
      </c>
      <c r="B1" s="8"/>
      <c r="C1" s="8"/>
      <c r="D1" s="8"/>
      <c r="E1" s="8"/>
      <c r="F1" s="8"/>
      <c r="G1" s="8"/>
      <c r="H1" s="8"/>
      <c r="I1" s="36"/>
      <c r="J1" s="8" t="s">
        <v>64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63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62</v>
      </c>
      <c r="B2" s="35"/>
      <c r="C2" s="35"/>
      <c r="D2" s="35"/>
      <c r="E2" s="35"/>
      <c r="F2" s="35"/>
      <c r="G2" s="1"/>
      <c r="H2" s="1"/>
      <c r="I2" s="2"/>
      <c r="J2" s="1" t="s">
        <v>61</v>
      </c>
      <c r="K2" s="18" t="s">
        <v>97</v>
      </c>
      <c r="L2" s="1" t="s">
        <v>59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58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57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56</v>
      </c>
      <c r="B6" s="1"/>
      <c r="C6" s="1"/>
      <c r="D6" s="1"/>
      <c r="E6" s="1"/>
      <c r="F6" s="1"/>
      <c r="G6" s="1"/>
      <c r="H6" s="1"/>
      <c r="I6" s="2"/>
      <c r="J6" s="1" t="s">
        <v>55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54</v>
      </c>
      <c r="B7" s="1"/>
      <c r="C7" s="1"/>
      <c r="D7" s="1"/>
      <c r="E7" s="1"/>
      <c r="F7" s="1"/>
      <c r="G7" s="1"/>
      <c r="H7" s="1"/>
      <c r="I7" s="2"/>
      <c r="J7" s="1" t="s">
        <v>53</v>
      </c>
      <c r="L7" s="1"/>
      <c r="M7" s="1"/>
      <c r="N7" s="1"/>
      <c r="O7" s="1"/>
      <c r="P7" s="1"/>
      <c r="Q7" s="1"/>
      <c r="R7" s="16"/>
      <c r="S7" s="1" t="s">
        <v>52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24</v>
      </c>
      <c r="B10" s="18" t="s">
        <v>99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51</v>
      </c>
      <c r="V10" s="1"/>
      <c r="W10" s="1"/>
      <c r="X10" s="18">
        <v>5</v>
      </c>
      <c r="Y10" s="1" t="s">
        <v>22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127</v>
      </c>
      <c r="B12" s="20"/>
      <c r="C12" s="1"/>
      <c r="D12" s="1"/>
      <c r="E12" s="1"/>
      <c r="F12" s="1"/>
      <c r="G12" s="1"/>
      <c r="H12" s="1"/>
      <c r="I12" s="2"/>
      <c r="J12" s="16" t="s">
        <v>50</v>
      </c>
      <c r="K12" s="16"/>
      <c r="L12" s="15">
        <f>IF(OR(K2="Mer",K2="Siège"),IF(F50&gt;F94,F50,F94),IF(K2="Plaine",IF(D50&gt;D94,D50,D94),"Erreur !"))</f>
        <v>111411</v>
      </c>
      <c r="M12" s="16" t="s">
        <v>49</v>
      </c>
      <c r="N12" s="33">
        <f>IF(OR(K2="Mer",K2="Siège"),IF(F50&lt;=F94,F50,F94),IF(K2="Plaine",IF(D50&lt;=D94,D50,D94),"Erreur !"))</f>
        <v>13592</v>
      </c>
      <c r="O12" s="16" t="s">
        <v>48</v>
      </c>
      <c r="P12" s="32">
        <f>L12/N12</f>
        <v>8.196806945261919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+12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Endrasil</v>
      </c>
      <c r="T12" s="2"/>
      <c r="U12" s="15" t="str">
        <f t="shared" ref="U12:U19" si="0">A12</f>
        <v>Les Sentinelles du Bosquet + L'Écu de Chêne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 t="s">
        <v>123</v>
      </c>
      <c r="B13" s="1"/>
      <c r="C13" s="1"/>
      <c r="D13" s="1"/>
      <c r="E13" s="1"/>
      <c r="F13" s="1"/>
      <c r="G13" s="1"/>
      <c r="H13" s="1"/>
      <c r="I13" s="2"/>
      <c r="J13" s="1" t="s">
        <v>47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 t="str">
        <f t="shared" si="0"/>
        <v># Eldar Cirwedh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>
        <v>7125</v>
      </c>
      <c r="B14" s="18" t="s">
        <v>100</v>
      </c>
      <c r="C14" s="1" t="s">
        <v>11</v>
      </c>
      <c r="D14" s="15">
        <f>2*A14</f>
        <v>14250</v>
      </c>
      <c r="E14" s="1" t="s">
        <v>10</v>
      </c>
      <c r="F14" s="1"/>
      <c r="G14" s="1"/>
      <c r="H14" s="1"/>
      <c r="I14" s="2"/>
      <c r="J14" s="7" t="s">
        <v>46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7125</v>
      </c>
      <c r="V14" s="17" t="s">
        <v>1</v>
      </c>
      <c r="W14" s="15">
        <f t="shared" ref="W14:W19" si="1">ROUND(U14*(1-X$10/100),0)</f>
        <v>6769</v>
      </c>
      <c r="X14" s="16" t="str">
        <f t="shared" ref="X14:X19" si="2">B14</f>
        <v>Danseurs</v>
      </c>
      <c r="Y14" s="1" t="s">
        <v>11</v>
      </c>
      <c r="Z14" s="15">
        <f>2*W14</f>
        <v>13538</v>
      </c>
      <c r="AA14" s="1" t="s">
        <v>10</v>
      </c>
      <c r="AB14" s="1"/>
      <c r="AC14" s="1"/>
      <c r="AD14" s="1"/>
    </row>
    <row r="15" spans="1:30" x14ac:dyDescent="0.25">
      <c r="A15" s="19">
        <v>15556</v>
      </c>
      <c r="B15" s="18" t="s">
        <v>17</v>
      </c>
      <c r="C15" s="1" t="s">
        <v>11</v>
      </c>
      <c r="D15" s="15">
        <f>3*A15</f>
        <v>46668</v>
      </c>
      <c r="E15" s="1" t="s">
        <v>10</v>
      </c>
      <c r="F15" s="1"/>
      <c r="G15" s="1"/>
      <c r="H15" s="1"/>
      <c r="I15" s="2"/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15556</v>
      </c>
      <c r="V15" s="17" t="s">
        <v>1</v>
      </c>
      <c r="W15" s="15">
        <f t="shared" si="1"/>
        <v>14778</v>
      </c>
      <c r="X15" s="16" t="str">
        <f t="shared" si="2"/>
        <v>Archers</v>
      </c>
      <c r="Y15" s="1" t="s">
        <v>11</v>
      </c>
      <c r="Z15" s="15">
        <f>3*W15</f>
        <v>44334</v>
      </c>
      <c r="AA15" s="1" t="s">
        <v>10</v>
      </c>
      <c r="AB15" s="1"/>
      <c r="AC15" s="1"/>
      <c r="AD15" s="1"/>
    </row>
    <row r="16" spans="1:30" x14ac:dyDescent="0.25">
      <c r="A16" s="19">
        <v>1881</v>
      </c>
      <c r="B16" s="18" t="s">
        <v>101</v>
      </c>
      <c r="C16" s="1" t="s">
        <v>11</v>
      </c>
      <c r="D16" s="15">
        <f>4*A16</f>
        <v>7524</v>
      </c>
      <c r="E16" s="1" t="s">
        <v>13</v>
      </c>
      <c r="F16" s="15">
        <f>2*A16</f>
        <v>3762</v>
      </c>
      <c r="G16" s="1" t="s">
        <v>4</v>
      </c>
      <c r="H16" s="1"/>
      <c r="I16" s="2"/>
      <c r="J16" s="7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1881</v>
      </c>
      <c r="V16" s="17" t="s">
        <v>1</v>
      </c>
      <c r="W16" s="15">
        <f t="shared" si="1"/>
        <v>1787</v>
      </c>
      <c r="X16" s="16" t="str">
        <f t="shared" si="2"/>
        <v>Chevaucheurs</v>
      </c>
      <c r="Y16" s="1" t="s">
        <v>11</v>
      </c>
      <c r="Z16" s="15">
        <f>4*W16</f>
        <v>7148</v>
      </c>
      <c r="AA16" s="1" t="s">
        <v>13</v>
      </c>
      <c r="AB16" s="15">
        <f>2*W16</f>
        <v>3574</v>
      </c>
      <c r="AC16" s="1" t="s">
        <v>4</v>
      </c>
      <c r="AD16" s="1"/>
    </row>
    <row r="17" spans="1:30" x14ac:dyDescent="0.25">
      <c r="A17" s="19">
        <v>6607</v>
      </c>
      <c r="B17" s="18" t="s">
        <v>15</v>
      </c>
      <c r="C17" s="1" t="s">
        <v>11</v>
      </c>
      <c r="D17" s="15">
        <f>1*A17</f>
        <v>6607</v>
      </c>
      <c r="E17" s="1" t="s">
        <v>13</v>
      </c>
      <c r="F17" s="15">
        <f>3*A17</f>
        <v>19821</v>
      </c>
      <c r="G17" s="1" t="s">
        <v>4</v>
      </c>
      <c r="H17" s="1"/>
      <c r="I17" s="2"/>
      <c r="J17" s="7" t="s">
        <v>43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6607</v>
      </c>
      <c r="V17" s="17" t="s">
        <v>1</v>
      </c>
      <c r="W17" s="15">
        <f t="shared" si="1"/>
        <v>6277</v>
      </c>
      <c r="X17" s="16" t="str">
        <f t="shared" si="2"/>
        <v>Mineurs</v>
      </c>
      <c r="Y17" s="1" t="s">
        <v>11</v>
      </c>
      <c r="Z17" s="15">
        <f>1*W17</f>
        <v>6277</v>
      </c>
      <c r="AA17" s="1" t="s">
        <v>13</v>
      </c>
      <c r="AB17" s="15">
        <f>3*W17</f>
        <v>18831</v>
      </c>
      <c r="AC17" s="1" t="s">
        <v>4</v>
      </c>
      <c r="AD17" s="1"/>
    </row>
    <row r="18" spans="1:30" x14ac:dyDescent="0.25">
      <c r="A18" s="19">
        <v>426</v>
      </c>
      <c r="B18" s="18" t="s">
        <v>102</v>
      </c>
      <c r="C18" s="1" t="s">
        <v>11</v>
      </c>
      <c r="D18" s="15">
        <f>15*A18</f>
        <v>6390</v>
      </c>
      <c r="E18" s="1" t="s">
        <v>13</v>
      </c>
      <c r="F18" s="15">
        <f>50*A18</f>
        <v>21300</v>
      </c>
      <c r="G18" s="1" t="s">
        <v>4</v>
      </c>
      <c r="H18" s="1"/>
      <c r="I18" s="2"/>
      <c r="J18" s="7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426</v>
      </c>
      <c r="V18" s="17" t="s">
        <v>1</v>
      </c>
      <c r="W18" s="15">
        <f t="shared" si="1"/>
        <v>405</v>
      </c>
      <c r="X18" s="16" t="str">
        <f t="shared" si="2"/>
        <v>Balistes</v>
      </c>
      <c r="Y18" s="1" t="s">
        <v>11</v>
      </c>
      <c r="Z18" s="15">
        <f>15*W18</f>
        <v>6075</v>
      </c>
      <c r="AA18" s="1" t="s">
        <v>13</v>
      </c>
      <c r="AB18" s="15">
        <f>50*W18</f>
        <v>20250</v>
      </c>
      <c r="AC18" s="1" t="s">
        <v>4</v>
      </c>
      <c r="AD18" s="1"/>
    </row>
    <row r="19" spans="1:30" x14ac:dyDescent="0.25">
      <c r="A19" s="19">
        <v>561</v>
      </c>
      <c r="B19" s="18" t="s">
        <v>103</v>
      </c>
      <c r="C19" s="1" t="s">
        <v>11</v>
      </c>
      <c r="D19" s="15">
        <f>10*A19</f>
        <v>5610</v>
      </c>
      <c r="E19" s="1" t="s">
        <v>10</v>
      </c>
      <c r="F19" s="1"/>
      <c r="G19" s="1"/>
      <c r="H19" s="1"/>
      <c r="I19" s="2"/>
      <c r="J19" s="7" t="s">
        <v>41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561</v>
      </c>
      <c r="V19" s="17" t="s">
        <v>1</v>
      </c>
      <c r="W19" s="15">
        <f t="shared" si="1"/>
        <v>533</v>
      </c>
      <c r="X19" s="16" t="str">
        <f t="shared" si="2"/>
        <v>Spriggans</v>
      </c>
      <c r="Y19" s="1" t="s">
        <v>11</v>
      </c>
      <c r="Z19" s="15">
        <f>10*W19</f>
        <v>5330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87049</v>
      </c>
      <c r="E20" s="8" t="s">
        <v>5</v>
      </c>
      <c r="F20" s="10">
        <f>D14+D15+F16+F17+F18+D19</f>
        <v>111411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87049</v>
      </c>
      <c r="Y20" s="11" t="s">
        <v>1</v>
      </c>
      <c r="Z20" s="10">
        <f>Z14+Z15+Z16+Z17+Z18+Z19</f>
        <v>82702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40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111411</v>
      </c>
      <c r="Y21" s="11" t="s">
        <v>1</v>
      </c>
      <c r="Z21" s="10">
        <f>Z14+Z15+AB16+AB17+AB18+Z19</f>
        <v>105857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100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100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39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38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37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/>
      <c r="B27" s="18" t="s">
        <v>18</v>
      </c>
      <c r="C27" s="1" t="s">
        <v>11</v>
      </c>
      <c r="D27" s="15">
        <f>2*A27</f>
        <v>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0</v>
      </c>
      <c r="V27" s="17" t="s">
        <v>1</v>
      </c>
      <c r="W27" s="15">
        <f t="shared" ref="W27:W32" si="4">ROUND(U27*(1-X$10/100),0)</f>
        <v>0</v>
      </c>
      <c r="X27" s="16" t="str">
        <f t="shared" ref="X27:X32" si="5">B27</f>
        <v>Fantassins</v>
      </c>
      <c r="Y27" s="1" t="s">
        <v>11</v>
      </c>
      <c r="Z27" s="15">
        <f>2*W27</f>
        <v>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36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0</v>
      </c>
      <c r="V28" s="17" t="s">
        <v>1</v>
      </c>
      <c r="W28" s="15">
        <f t="shared" si="4"/>
        <v>0</v>
      </c>
      <c r="X28" s="16" t="str">
        <f t="shared" si="5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4*A29</f>
        <v>0</v>
      </c>
      <c r="E29" s="1" t="s">
        <v>13</v>
      </c>
      <c r="F29" s="15">
        <f>2*A29</f>
        <v>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0</v>
      </c>
      <c r="V29" s="17" t="s">
        <v>1</v>
      </c>
      <c r="W29" s="15">
        <f t="shared" si="4"/>
        <v>0</v>
      </c>
      <c r="X29" s="16" t="str">
        <f t="shared" si="5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35</v>
      </c>
      <c r="K30" s="1"/>
      <c r="L30" s="1"/>
      <c r="M30" s="1"/>
      <c r="N30" s="1"/>
      <c r="O30" s="1"/>
      <c r="P30" s="1"/>
      <c r="Q30" s="1"/>
      <c r="R30" s="31" t="s">
        <v>34</v>
      </c>
      <c r="S30" s="29">
        <v>6</v>
      </c>
      <c r="T30" s="2"/>
      <c r="U30" s="15">
        <f t="shared" si="3"/>
        <v>0</v>
      </c>
      <c r="V30" s="17" t="s">
        <v>1</v>
      </c>
      <c r="W30" s="15">
        <f t="shared" si="4"/>
        <v>0</v>
      </c>
      <c r="X30" s="16" t="str">
        <f t="shared" si="5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33</v>
      </c>
      <c r="K31" s="1"/>
      <c r="L31" s="1"/>
      <c r="M31" s="1"/>
      <c r="N31" s="1"/>
      <c r="O31" s="1"/>
      <c r="P31" s="1"/>
      <c r="Q31" s="1"/>
      <c r="R31" s="1"/>
      <c r="S31" s="29">
        <v>1</v>
      </c>
      <c r="T31" s="2"/>
      <c r="U31" s="15">
        <f t="shared" si="3"/>
        <v>0</v>
      </c>
      <c r="V31" s="17" t="s">
        <v>1</v>
      </c>
      <c r="W31" s="15">
        <f t="shared" si="4"/>
        <v>0</v>
      </c>
      <c r="X31" s="16" t="str">
        <f t="shared" si="5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12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0</v>
      </c>
      <c r="V32" s="17" t="s">
        <v>1</v>
      </c>
      <c r="W32" s="15">
        <f t="shared" si="4"/>
        <v>0</v>
      </c>
      <c r="X32" s="16" t="str">
        <f t="shared" si="5"/>
        <v>Troupes d'Élite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0</v>
      </c>
      <c r="E33" s="8" t="s">
        <v>5</v>
      </c>
      <c r="F33" s="10">
        <f>D27+D28+F29+F30+F31+D32</f>
        <v>0</v>
      </c>
      <c r="G33" s="8" t="s">
        <v>4</v>
      </c>
      <c r="H33" s="1"/>
      <c r="I33" s="2"/>
      <c r="J33" s="30" t="s">
        <v>32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0</v>
      </c>
      <c r="Y33" s="11" t="s">
        <v>1</v>
      </c>
      <c r="Z33" s="10">
        <f>Z27+Z28+Z29+Z30+Z31+Z32</f>
        <v>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0</v>
      </c>
      <c r="Y34" s="11" t="s">
        <v>1</v>
      </c>
      <c r="Z34" s="10">
        <f>Z27+Z28+AB29+AB30+AB31+Z32</f>
        <v>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0</v>
      </c>
      <c r="E35" s="8" t="s">
        <v>6</v>
      </c>
      <c r="F35" s="1"/>
      <c r="G35" s="1"/>
      <c r="H35" s="1"/>
      <c r="I35" s="2"/>
      <c r="J35" s="1" t="s">
        <v>30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2 D6</v>
      </c>
      <c r="L35" s="1" t="s">
        <v>31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30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6 D6</v>
      </c>
      <c r="L36" s="1" t="s">
        <v>29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28</v>
      </c>
      <c r="K38" s="1"/>
      <c r="L38" s="1"/>
      <c r="M38" s="1"/>
      <c r="N38" s="1"/>
      <c r="O38" s="1"/>
      <c r="P38" s="1"/>
      <c r="Q38" s="1"/>
      <c r="R38" s="1"/>
      <c r="S38" s="29">
        <v>3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27</v>
      </c>
      <c r="K39" s="1"/>
      <c r="L39" s="1"/>
      <c r="M39" s="1"/>
      <c r="N39" s="1"/>
      <c r="O39" s="1"/>
      <c r="P39" s="1"/>
      <c r="Q39" s="1"/>
      <c r="R39" s="1"/>
      <c r="S39" s="29">
        <v>31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26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7</v>
      </c>
      <c r="O41" s="1" t="s">
        <v>6</v>
      </c>
      <c r="P41" s="1"/>
      <c r="Q41" s="1"/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25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51</v>
      </c>
      <c r="O42" s="1" t="s">
        <v>6</v>
      </c>
      <c r="P42" s="1"/>
      <c r="Q42" s="1"/>
      <c r="R42" s="1"/>
      <c r="S42" s="1"/>
      <c r="T42" s="2"/>
      <c r="U42" s="15">
        <f t="shared" si="6"/>
        <v>0</v>
      </c>
      <c r="V42" s="17" t="s">
        <v>1</v>
      </c>
      <c r="W42" s="15">
        <f t="shared" si="7"/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 t="shared" si="7"/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 t="shared" si="7"/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87049</v>
      </c>
      <c r="E50" s="3" t="s">
        <v>5</v>
      </c>
      <c r="F50" s="4">
        <f>F20+F33+F46</f>
        <v>111411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87049</v>
      </c>
      <c r="Y50" s="5" t="s">
        <v>1</v>
      </c>
      <c r="Z50" s="4">
        <f>Z20+Z33+Z46</f>
        <v>82702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111411</v>
      </c>
      <c r="Y51" s="5" t="s">
        <v>1</v>
      </c>
      <c r="Z51" s="4">
        <f>Z21+Z34+Z47</f>
        <v>105857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24</v>
      </c>
      <c r="B54" s="18" t="s">
        <v>96</v>
      </c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23</v>
      </c>
      <c r="V54" s="7"/>
      <c r="W54" s="1"/>
      <c r="X54" s="18">
        <v>56</v>
      </c>
      <c r="Y54" s="1" t="s">
        <v>22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131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Les Panthères des Sables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>
        <f t="shared" si="9"/>
        <v>0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1188</v>
      </c>
      <c r="B58" s="18" t="s">
        <v>18</v>
      </c>
      <c r="C58" s="1" t="s">
        <v>11</v>
      </c>
      <c r="D58" s="15">
        <f>2*A58</f>
        <v>2376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9"/>
        <v>1188</v>
      </c>
      <c r="V58" s="17" t="s">
        <v>1</v>
      </c>
      <c r="W58" s="15">
        <f t="shared" ref="W58:W63" si="10">ROUND(U58*(1-X$54/100),0)</f>
        <v>523</v>
      </c>
      <c r="X58" s="16" t="str">
        <f t="shared" ref="X58:X63" si="11">B58</f>
        <v>Fantassins</v>
      </c>
      <c r="Y58" s="1" t="s">
        <v>11</v>
      </c>
      <c r="Z58" s="15">
        <f>2*W58</f>
        <v>1046</v>
      </c>
      <c r="AA58" s="1" t="s">
        <v>10</v>
      </c>
      <c r="AB58" s="1"/>
      <c r="AC58" s="1"/>
      <c r="AD58" s="1"/>
    </row>
    <row r="59" spans="1:30" x14ac:dyDescent="0.25">
      <c r="A59" s="19">
        <v>792</v>
      </c>
      <c r="B59" s="18" t="s">
        <v>17</v>
      </c>
      <c r="C59" s="1" t="s">
        <v>11</v>
      </c>
      <c r="D59" s="15">
        <f>3*A59</f>
        <v>2376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792</v>
      </c>
      <c r="V59" s="17" t="s">
        <v>1</v>
      </c>
      <c r="W59" s="15">
        <f t="shared" si="10"/>
        <v>348</v>
      </c>
      <c r="X59" s="16" t="str">
        <f t="shared" si="11"/>
        <v>Archers</v>
      </c>
      <c r="Y59" s="1" t="s">
        <v>11</v>
      </c>
      <c r="Z59" s="15">
        <f>3*W59</f>
        <v>1044</v>
      </c>
      <c r="AA59" s="1" t="s">
        <v>10</v>
      </c>
      <c r="AB59" s="1"/>
      <c r="AC59" s="1"/>
      <c r="AD59" s="1"/>
    </row>
    <row r="60" spans="1:30" x14ac:dyDescent="0.25">
      <c r="A60" s="19">
        <v>660</v>
      </c>
      <c r="B60" s="18" t="s">
        <v>16</v>
      </c>
      <c r="C60" s="1" t="s">
        <v>11</v>
      </c>
      <c r="D60" s="15">
        <f>4*A60</f>
        <v>2640</v>
      </c>
      <c r="E60" s="1" t="s">
        <v>13</v>
      </c>
      <c r="F60" s="15">
        <f>2*A60</f>
        <v>1320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9"/>
        <v>660</v>
      </c>
      <c r="V60" s="17" t="s">
        <v>1</v>
      </c>
      <c r="W60" s="15">
        <f t="shared" si="10"/>
        <v>290</v>
      </c>
      <c r="X60" s="16" t="str">
        <f t="shared" si="11"/>
        <v>Cavaliers</v>
      </c>
      <c r="Y60" s="1" t="s">
        <v>11</v>
      </c>
      <c r="Z60" s="15">
        <f>4*W60</f>
        <v>1160</v>
      </c>
      <c r="AA60" s="1" t="s">
        <v>13</v>
      </c>
      <c r="AB60" s="15">
        <f>2*W60</f>
        <v>580</v>
      </c>
      <c r="AC60" s="1" t="s">
        <v>4</v>
      </c>
      <c r="AD60" s="1"/>
    </row>
    <row r="61" spans="1:30" x14ac:dyDescent="0.25">
      <c r="A61" s="19">
        <v>880</v>
      </c>
      <c r="B61" s="18" t="s">
        <v>15</v>
      </c>
      <c r="C61" s="1" t="s">
        <v>11</v>
      </c>
      <c r="D61" s="15">
        <f>1*A61</f>
        <v>880</v>
      </c>
      <c r="E61" s="1" t="s">
        <v>13</v>
      </c>
      <c r="F61" s="15">
        <f>3*A61</f>
        <v>2640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880</v>
      </c>
      <c r="V61" s="17" t="s">
        <v>1</v>
      </c>
      <c r="W61" s="15">
        <f t="shared" si="10"/>
        <v>387</v>
      </c>
      <c r="X61" s="16" t="str">
        <f t="shared" si="11"/>
        <v>Mineurs</v>
      </c>
      <c r="Y61" s="1" t="s">
        <v>11</v>
      </c>
      <c r="Z61" s="15">
        <f>1*W61</f>
        <v>387</v>
      </c>
      <c r="AA61" s="1" t="s">
        <v>13</v>
      </c>
      <c r="AB61" s="15">
        <f>3*W61</f>
        <v>1161</v>
      </c>
      <c r="AC61" s="1" t="s">
        <v>4</v>
      </c>
      <c r="AD61" s="1"/>
    </row>
    <row r="62" spans="1:30" x14ac:dyDescent="0.25">
      <c r="A62" s="19">
        <v>62</v>
      </c>
      <c r="B62" s="18" t="s">
        <v>14</v>
      </c>
      <c r="C62" s="1" t="s">
        <v>11</v>
      </c>
      <c r="D62" s="15">
        <f>15*A62</f>
        <v>930</v>
      </c>
      <c r="E62" s="1" t="s">
        <v>13</v>
      </c>
      <c r="F62" s="15">
        <f>50*A62</f>
        <v>3100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62</v>
      </c>
      <c r="V62" s="17" t="s">
        <v>1</v>
      </c>
      <c r="W62" s="15">
        <f t="shared" si="10"/>
        <v>27</v>
      </c>
      <c r="X62" s="16" t="str">
        <f t="shared" si="11"/>
        <v>Engins de Siège</v>
      </c>
      <c r="Y62" s="1" t="s">
        <v>11</v>
      </c>
      <c r="Z62" s="15">
        <f>15*W62</f>
        <v>405</v>
      </c>
      <c r="AA62" s="1" t="s">
        <v>13</v>
      </c>
      <c r="AB62" s="15">
        <f>50*W62</f>
        <v>1350</v>
      </c>
      <c r="AC62" s="1" t="s">
        <v>4</v>
      </c>
      <c r="AD62" s="1"/>
    </row>
    <row r="63" spans="1:30" x14ac:dyDescent="0.25">
      <c r="A63" s="19">
        <v>178</v>
      </c>
      <c r="B63" s="18" t="s">
        <v>12</v>
      </c>
      <c r="C63" s="1" t="s">
        <v>11</v>
      </c>
      <c r="D63" s="15">
        <f>10*A63</f>
        <v>1780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178</v>
      </c>
      <c r="V63" s="17" t="s">
        <v>1</v>
      </c>
      <c r="W63" s="15">
        <f t="shared" si="10"/>
        <v>78</v>
      </c>
      <c r="X63" s="16" t="str">
        <f t="shared" si="11"/>
        <v>Troupes d'Élite</v>
      </c>
      <c r="Y63" s="1" t="s">
        <v>11</v>
      </c>
      <c r="Z63" s="15">
        <f>10*W63</f>
        <v>780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10982</v>
      </c>
      <c r="E64" s="8" t="s">
        <v>5</v>
      </c>
      <c r="F64" s="10">
        <f>D58+D59+F60+F61+F62+D63</f>
        <v>13592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10982</v>
      </c>
      <c r="Y64" s="11" t="s">
        <v>1</v>
      </c>
      <c r="Z64" s="10">
        <f>Z58+Z59+Z60+Z61+Z62+Z63</f>
        <v>4822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13592</v>
      </c>
      <c r="Y65" s="11" t="s">
        <v>1</v>
      </c>
      <c r="Z65" s="10">
        <f>Z58+Z59+AB60+AB61+AB62+Z63</f>
        <v>5961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100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100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21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2">A69</f>
        <v># Nom de l'Armée #2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19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2"/>
        <v>(Notifier la présence éventuelle du Roi ou du Vassal ici)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/>
      <c r="B71" s="18" t="s">
        <v>18</v>
      </c>
      <c r="C71" s="1" t="s">
        <v>11</v>
      </c>
      <c r="D71" s="15">
        <f>2*A71</f>
        <v>0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2"/>
        <v>0</v>
      </c>
      <c r="V71" s="17" t="s">
        <v>1</v>
      </c>
      <c r="W71" s="15">
        <f t="shared" ref="W71:W76" si="13">ROUND(U71*(1-X$54/100),0)</f>
        <v>0</v>
      </c>
      <c r="X71" s="16" t="str">
        <f t="shared" ref="X71:X76" si="14">B71</f>
        <v>Fantassins</v>
      </c>
      <c r="Y71" s="1" t="s">
        <v>11</v>
      </c>
      <c r="Z71" s="15">
        <f>2*W71</f>
        <v>0</v>
      </c>
      <c r="AA71" s="1" t="s">
        <v>10</v>
      </c>
      <c r="AB71" s="1"/>
      <c r="AC71" s="1"/>
      <c r="AD71" s="1"/>
    </row>
    <row r="72" spans="1:30" x14ac:dyDescent="0.25">
      <c r="A72" s="19"/>
      <c r="B72" s="18" t="s">
        <v>17</v>
      </c>
      <c r="C72" s="1" t="s">
        <v>11</v>
      </c>
      <c r="D72" s="15">
        <f>3*A72</f>
        <v>0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2"/>
        <v>0</v>
      </c>
      <c r="V72" s="17" t="s">
        <v>1</v>
      </c>
      <c r="W72" s="15">
        <f t="shared" si="13"/>
        <v>0</v>
      </c>
      <c r="X72" s="16" t="str">
        <f t="shared" si="14"/>
        <v>Archers</v>
      </c>
      <c r="Y72" s="1" t="s">
        <v>11</v>
      </c>
      <c r="Z72" s="15">
        <f>3*W72</f>
        <v>0</v>
      </c>
      <c r="AA72" s="1" t="s">
        <v>10</v>
      </c>
      <c r="AB72" s="1"/>
      <c r="AC72" s="1"/>
      <c r="AD72" s="1"/>
    </row>
    <row r="73" spans="1:30" x14ac:dyDescent="0.25">
      <c r="A73" s="19"/>
      <c r="B73" s="18" t="s">
        <v>16</v>
      </c>
      <c r="C73" s="1" t="s">
        <v>11</v>
      </c>
      <c r="D73" s="15">
        <f>4*A73</f>
        <v>0</v>
      </c>
      <c r="E73" s="1" t="s">
        <v>13</v>
      </c>
      <c r="F73" s="15">
        <f>2*A73</f>
        <v>0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2"/>
        <v>0</v>
      </c>
      <c r="V73" s="17" t="s">
        <v>1</v>
      </c>
      <c r="W73" s="15">
        <f t="shared" si="13"/>
        <v>0</v>
      </c>
      <c r="X73" s="16" t="str">
        <f t="shared" si="14"/>
        <v>Cavaliers</v>
      </c>
      <c r="Y73" s="1" t="s">
        <v>11</v>
      </c>
      <c r="Z73" s="15">
        <f>4*W73</f>
        <v>0</v>
      </c>
      <c r="AA73" s="1" t="s">
        <v>13</v>
      </c>
      <c r="AB73" s="15">
        <f>2*W73</f>
        <v>0</v>
      </c>
      <c r="AC73" s="1" t="s">
        <v>4</v>
      </c>
      <c r="AD73" s="1"/>
    </row>
    <row r="74" spans="1:30" x14ac:dyDescent="0.25">
      <c r="A74" s="19"/>
      <c r="B74" s="18" t="s">
        <v>15</v>
      </c>
      <c r="C74" s="1" t="s">
        <v>11</v>
      </c>
      <c r="D74" s="15">
        <f>1*A74</f>
        <v>0</v>
      </c>
      <c r="E74" s="1" t="s">
        <v>13</v>
      </c>
      <c r="F74" s="15">
        <f>3*A74</f>
        <v>0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2"/>
        <v>0</v>
      </c>
      <c r="V74" s="17" t="s">
        <v>1</v>
      </c>
      <c r="W74" s="15">
        <f t="shared" si="13"/>
        <v>0</v>
      </c>
      <c r="X74" s="16" t="str">
        <f t="shared" si="14"/>
        <v>Mineurs</v>
      </c>
      <c r="Y74" s="1" t="s">
        <v>11</v>
      </c>
      <c r="Z74" s="15">
        <f>1*W74</f>
        <v>0</v>
      </c>
      <c r="AA74" s="1" t="s">
        <v>13</v>
      </c>
      <c r="AB74" s="15">
        <f>3*W74</f>
        <v>0</v>
      </c>
      <c r="AC74" s="1" t="s">
        <v>4</v>
      </c>
      <c r="AD74" s="1"/>
    </row>
    <row r="75" spans="1:30" x14ac:dyDescent="0.25">
      <c r="A75" s="19"/>
      <c r="B75" s="18" t="s">
        <v>14</v>
      </c>
      <c r="C75" s="1" t="s">
        <v>11</v>
      </c>
      <c r="D75" s="15">
        <f>15*A75</f>
        <v>0</v>
      </c>
      <c r="E75" s="1" t="s">
        <v>13</v>
      </c>
      <c r="F75" s="15">
        <f>50*A75</f>
        <v>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2"/>
        <v>0</v>
      </c>
      <c r="V75" s="17" t="s">
        <v>1</v>
      </c>
      <c r="W75" s="15">
        <f t="shared" si="13"/>
        <v>0</v>
      </c>
      <c r="X75" s="16" t="str">
        <f t="shared" si="14"/>
        <v>Engins de Siège</v>
      </c>
      <c r="Y75" s="1" t="s">
        <v>11</v>
      </c>
      <c r="Z75" s="15">
        <f>15*W75</f>
        <v>0</v>
      </c>
      <c r="AA75" s="1" t="s">
        <v>13</v>
      </c>
      <c r="AB75" s="15">
        <f>50*W75</f>
        <v>0</v>
      </c>
      <c r="AC75" s="1" t="s">
        <v>4</v>
      </c>
      <c r="AD75" s="1"/>
    </row>
    <row r="76" spans="1:30" x14ac:dyDescent="0.25">
      <c r="A76" s="19"/>
      <c r="B76" s="18" t="s">
        <v>12</v>
      </c>
      <c r="C76" s="1" t="s">
        <v>11</v>
      </c>
      <c r="D76" s="15">
        <f>10*A76</f>
        <v>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2"/>
        <v>0</v>
      </c>
      <c r="V76" s="17" t="s">
        <v>1</v>
      </c>
      <c r="W76" s="15">
        <f t="shared" si="13"/>
        <v>0</v>
      </c>
      <c r="X76" s="16" t="str">
        <f t="shared" si="14"/>
        <v>Troupes d'Élite</v>
      </c>
      <c r="Y76" s="1" t="s">
        <v>11</v>
      </c>
      <c r="Z76" s="15">
        <f>10*W76</f>
        <v>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0</v>
      </c>
      <c r="E77" s="8" t="s">
        <v>5</v>
      </c>
      <c r="F77" s="10">
        <f>D71+D72+F73+F74+F75+D76</f>
        <v>0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0</v>
      </c>
      <c r="Y77" s="11" t="s">
        <v>1</v>
      </c>
      <c r="Z77" s="10">
        <f>Z71+Z72+Z73+Z74+Z75+Z76</f>
        <v>0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0</v>
      </c>
      <c r="Y78" s="11" t="s">
        <v>1</v>
      </c>
      <c r="Z78" s="10">
        <f>Z71+Z72+AB73+AB74+AB75+Z76</f>
        <v>0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0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0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5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5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5"/>
        <v>0</v>
      </c>
      <c r="V84" s="17" t="s">
        <v>1</v>
      </c>
      <c r="W84" s="15">
        <f t="shared" ref="W84:W89" si="16">ROUND(U84*(1-X$54/100),0)</f>
        <v>0</v>
      </c>
      <c r="X84" s="16" t="str">
        <f t="shared" ref="X84:X89" si="17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5"/>
        <v>0</v>
      </c>
      <c r="V85" s="17" t="s">
        <v>1</v>
      </c>
      <c r="W85" s="15">
        <f t="shared" si="16"/>
        <v>0</v>
      </c>
      <c r="X85" s="16" t="str">
        <f t="shared" si="17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5"/>
        <v>0</v>
      </c>
      <c r="V86" s="17" t="s">
        <v>1</v>
      </c>
      <c r="W86" s="15">
        <f t="shared" si="16"/>
        <v>0</v>
      </c>
      <c r="X86" s="16" t="str">
        <f t="shared" si="17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5"/>
        <v>0</v>
      </c>
      <c r="V87" s="17" t="s">
        <v>1</v>
      </c>
      <c r="W87" s="15">
        <f t="shared" si="16"/>
        <v>0</v>
      </c>
      <c r="X87" s="16" t="str">
        <f t="shared" si="17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5"/>
        <v>0</v>
      </c>
      <c r="V88" s="17" t="s">
        <v>1</v>
      </c>
      <c r="W88" s="15">
        <f t="shared" si="16"/>
        <v>0</v>
      </c>
      <c r="X88" s="16" t="str">
        <f t="shared" si="17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5"/>
        <v>0</v>
      </c>
      <c r="V89" s="17" t="s">
        <v>1</v>
      </c>
      <c r="W89" s="15">
        <f t="shared" si="16"/>
        <v>0</v>
      </c>
      <c r="X89" s="16" t="str">
        <f t="shared" si="17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10982</v>
      </c>
      <c r="E94" s="3" t="s">
        <v>5</v>
      </c>
      <c r="F94" s="4">
        <f>F64+F77+F90</f>
        <v>13592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10982</v>
      </c>
      <c r="Y94" s="5" t="s">
        <v>1</v>
      </c>
      <c r="Z94" s="4">
        <f>Z64+Z77+Z90</f>
        <v>4822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13592</v>
      </c>
      <c r="Y95" s="5" t="s">
        <v>1</v>
      </c>
      <c r="Z95" s="4">
        <f>Z65+Z78+Z91</f>
        <v>5961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169" priority="31" operator="greaterThanOrEqual">
      <formula>25</formula>
    </cfRule>
    <cfRule type="cellIs" dxfId="168" priority="32" operator="lessThan">
      <formula>25</formula>
    </cfRule>
  </conditionalFormatting>
  <conditionalFormatting sqref="D35">
    <cfRule type="cellIs" dxfId="167" priority="29" operator="greaterThanOrEqual">
      <formula>25</formula>
    </cfRule>
    <cfRule type="cellIs" dxfId="166" priority="30" operator="lessThan">
      <formula>25</formula>
    </cfRule>
  </conditionalFormatting>
  <conditionalFormatting sqref="D48">
    <cfRule type="cellIs" dxfId="165" priority="27" operator="greaterThanOrEqual">
      <formula>25</formula>
    </cfRule>
    <cfRule type="cellIs" dxfId="164" priority="28" operator="lessThan">
      <formula>25</formula>
    </cfRule>
  </conditionalFormatting>
  <conditionalFormatting sqref="D66:D68">
    <cfRule type="cellIs" dxfId="163" priority="23" operator="greaterThanOrEqual">
      <formula>25</formula>
    </cfRule>
    <cfRule type="cellIs" dxfId="162" priority="24" operator="lessThan">
      <formula>25</formula>
    </cfRule>
  </conditionalFormatting>
  <conditionalFormatting sqref="D79">
    <cfRule type="cellIs" dxfId="161" priority="21" operator="greaterThanOrEqual">
      <formula>25</formula>
    </cfRule>
    <cfRule type="cellIs" dxfId="160" priority="22" operator="lessThan">
      <formula>25</formula>
    </cfRule>
  </conditionalFormatting>
  <conditionalFormatting sqref="D92">
    <cfRule type="cellIs" dxfId="159" priority="19" operator="greaterThanOrEqual">
      <formula>25</formula>
    </cfRule>
    <cfRule type="cellIs" dxfId="158" priority="20" operator="lessThan">
      <formula>25</formula>
    </cfRule>
  </conditionalFormatting>
  <conditionalFormatting sqref="D36:D37">
    <cfRule type="cellIs" dxfId="157" priority="25" operator="greaterThanOrEqual">
      <formula>25</formula>
    </cfRule>
    <cfRule type="cellIs" dxfId="156" priority="26" operator="lessThan">
      <formula>25</formula>
    </cfRule>
  </conditionalFormatting>
  <conditionalFormatting sqref="D80:D81">
    <cfRule type="cellIs" dxfId="155" priority="17" operator="greaterThanOrEqual">
      <formula>25</formula>
    </cfRule>
    <cfRule type="cellIs" dxfId="154" priority="18" operator="lessThan">
      <formula>25</formula>
    </cfRule>
  </conditionalFormatting>
  <conditionalFormatting sqref="Z22:Z24">
    <cfRule type="cellIs" dxfId="153" priority="15" operator="greaterThanOrEqual">
      <formula>25</formula>
    </cfRule>
    <cfRule type="cellIs" dxfId="152" priority="16" operator="lessThan">
      <formula>25</formula>
    </cfRule>
  </conditionalFormatting>
  <conditionalFormatting sqref="Z35">
    <cfRule type="cellIs" dxfId="151" priority="13" operator="greaterThanOrEqual">
      <formula>25</formula>
    </cfRule>
    <cfRule type="cellIs" dxfId="150" priority="14" operator="lessThan">
      <formula>25</formula>
    </cfRule>
  </conditionalFormatting>
  <conditionalFormatting sqref="Z48">
    <cfRule type="cellIs" dxfId="149" priority="11" operator="greaterThanOrEqual">
      <formula>25</formula>
    </cfRule>
    <cfRule type="cellIs" dxfId="148" priority="12" operator="lessThan">
      <formula>25</formula>
    </cfRule>
  </conditionalFormatting>
  <conditionalFormatting sqref="Z36:Z37">
    <cfRule type="cellIs" dxfId="147" priority="9" operator="greaterThanOrEqual">
      <formula>25</formula>
    </cfRule>
    <cfRule type="cellIs" dxfId="146" priority="10" operator="lessThan">
      <formula>25</formula>
    </cfRule>
  </conditionalFormatting>
  <conditionalFormatting sqref="Z66:Z68">
    <cfRule type="cellIs" dxfId="145" priority="7" operator="greaterThanOrEqual">
      <formula>25</formula>
    </cfRule>
    <cfRule type="cellIs" dxfId="144" priority="8" operator="lessThan">
      <formula>25</formula>
    </cfRule>
  </conditionalFormatting>
  <conditionalFormatting sqref="Z79">
    <cfRule type="cellIs" dxfId="143" priority="5" operator="greaterThanOrEqual">
      <formula>25</formula>
    </cfRule>
    <cfRule type="cellIs" dxfId="142" priority="6" operator="lessThan">
      <formula>25</formula>
    </cfRule>
  </conditionalFormatting>
  <conditionalFormatting sqref="Z92">
    <cfRule type="cellIs" dxfId="141" priority="3" operator="greaterThanOrEqual">
      <formula>25</formula>
    </cfRule>
    <cfRule type="cellIs" dxfId="140" priority="4" operator="lessThan">
      <formula>25</formula>
    </cfRule>
  </conditionalFormatting>
  <conditionalFormatting sqref="Z80:Z81">
    <cfRule type="cellIs" dxfId="139" priority="1" operator="greaterThanOrEqual">
      <formula>25</formula>
    </cfRule>
    <cfRule type="cellIs" dxfId="138" priority="2" operator="lessThan">
      <formula>25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opLeftCell="A37" workbookViewId="0">
      <selection activeCell="F77" sqref="F77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11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65</v>
      </c>
      <c r="B1" s="8"/>
      <c r="C1" s="8"/>
      <c r="D1" s="8"/>
      <c r="E1" s="8"/>
      <c r="F1" s="8"/>
      <c r="G1" s="8"/>
      <c r="H1" s="8"/>
      <c r="I1" s="36"/>
      <c r="J1" s="8" t="s">
        <v>64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63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62</v>
      </c>
      <c r="B2" s="35"/>
      <c r="C2" s="35"/>
      <c r="D2" s="35"/>
      <c r="E2" s="35"/>
      <c r="F2" s="35"/>
      <c r="G2" s="1"/>
      <c r="H2" s="1"/>
      <c r="I2" s="2"/>
      <c r="J2" s="1" t="s">
        <v>61</v>
      </c>
      <c r="K2" s="18" t="s">
        <v>97</v>
      </c>
      <c r="L2" s="1" t="s">
        <v>59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58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57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56</v>
      </c>
      <c r="B6" s="1"/>
      <c r="C6" s="1"/>
      <c r="D6" s="1"/>
      <c r="E6" s="1"/>
      <c r="F6" s="1"/>
      <c r="G6" s="1"/>
      <c r="H6" s="1"/>
      <c r="I6" s="2"/>
      <c r="J6" s="1" t="s">
        <v>55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54</v>
      </c>
      <c r="B7" s="1"/>
      <c r="C7" s="1"/>
      <c r="D7" s="1"/>
      <c r="E7" s="1"/>
      <c r="F7" s="1"/>
      <c r="G7" s="1"/>
      <c r="H7" s="1"/>
      <c r="I7" s="2"/>
      <c r="J7" s="1" t="s">
        <v>53</v>
      </c>
      <c r="L7" s="1"/>
      <c r="M7" s="1"/>
      <c r="N7" s="1"/>
      <c r="O7" s="1"/>
      <c r="P7" s="1"/>
      <c r="Q7" s="1"/>
      <c r="R7" s="16"/>
      <c r="S7" s="1" t="s">
        <v>52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24</v>
      </c>
      <c r="B10" s="18" t="s">
        <v>96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51</v>
      </c>
      <c r="V10" s="1"/>
      <c r="W10" s="1"/>
      <c r="X10" s="18">
        <v>68</v>
      </c>
      <c r="Y10" s="1" t="s">
        <v>22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115</v>
      </c>
      <c r="B12" s="20"/>
      <c r="C12" s="1"/>
      <c r="D12" s="1"/>
      <c r="E12" s="1"/>
      <c r="F12" s="1"/>
      <c r="G12" s="1"/>
      <c r="H12" s="1"/>
      <c r="I12" s="2"/>
      <c r="J12" s="16" t="s">
        <v>50</v>
      </c>
      <c r="K12" s="16"/>
      <c r="L12" s="15">
        <f>IF(OR(K2="Mer",K2="Siège"),IF(F50&gt;F94,F50,F94),IF(K2="Plaine",IF(D50&gt;D94,D50,D94),"Erreur !"))</f>
        <v>50956</v>
      </c>
      <c r="M12" s="16" t="s">
        <v>49</v>
      </c>
      <c r="N12" s="33">
        <f>IF(OR(K2="Mer",K2="Siège"),IF(F50&lt;=F94,F50,F94),IF(K2="Plaine",IF(D50&lt;=D94,D50,D94),"Erreur !"))</f>
        <v>15457</v>
      </c>
      <c r="O12" s="16" t="s">
        <v>48</v>
      </c>
      <c r="P12" s="32">
        <f>L12/N12</f>
        <v>3.2966293588665327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+6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Manoster</v>
      </c>
      <c r="T12" s="2"/>
      <c r="U12" s="15" t="str">
        <f t="shared" ref="U12:U19" si="0">A12</f>
        <v>La Grande Armée de Libération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 t="s">
        <v>116</v>
      </c>
      <c r="B13" s="1"/>
      <c r="C13" s="1"/>
      <c r="D13" s="1"/>
      <c r="E13" s="1"/>
      <c r="F13" s="1"/>
      <c r="G13" s="1"/>
      <c r="H13" s="1"/>
      <c r="I13" s="2"/>
      <c r="J13" s="1" t="s">
        <v>47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 t="str">
        <f t="shared" si="0"/>
        <v># Régent Sigis Mundo + Duc Lamberth Savigny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>
        <v>35</v>
      </c>
      <c r="B14" s="18" t="s">
        <v>18</v>
      </c>
      <c r="C14" s="1" t="s">
        <v>11</v>
      </c>
      <c r="D14" s="15">
        <f>2*A14</f>
        <v>70</v>
      </c>
      <c r="E14" s="1" t="s">
        <v>10</v>
      </c>
      <c r="F14" s="1"/>
      <c r="G14" s="1"/>
      <c r="H14" s="1"/>
      <c r="I14" s="2"/>
      <c r="J14" s="7" t="s">
        <v>46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35</v>
      </c>
      <c r="V14" s="17" t="s">
        <v>1</v>
      </c>
      <c r="W14" s="15">
        <f t="shared" ref="W14:W19" si="1">ROUND(U14*(1-X$10/100),0)</f>
        <v>11</v>
      </c>
      <c r="X14" s="16" t="str">
        <f t="shared" ref="X14:X19" si="2">B14</f>
        <v>Fantassins</v>
      </c>
      <c r="Y14" s="1" t="s">
        <v>11</v>
      </c>
      <c r="Z14" s="15">
        <f>2*W14</f>
        <v>22</v>
      </c>
      <c r="AA14" s="1" t="s">
        <v>10</v>
      </c>
      <c r="AB14" s="1"/>
      <c r="AC14" s="1"/>
      <c r="AD14" s="1"/>
    </row>
    <row r="15" spans="1:30" x14ac:dyDescent="0.25">
      <c r="A15" s="19">
        <v>70</v>
      </c>
      <c r="B15" s="18" t="s">
        <v>17</v>
      </c>
      <c r="C15" s="1" t="s">
        <v>11</v>
      </c>
      <c r="D15" s="15">
        <f>3*A15</f>
        <v>210</v>
      </c>
      <c r="E15" s="1" t="s">
        <v>10</v>
      </c>
      <c r="F15" s="1"/>
      <c r="G15" s="1"/>
      <c r="H15" s="1"/>
      <c r="I15" s="2"/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70</v>
      </c>
      <c r="V15" s="17" t="s">
        <v>1</v>
      </c>
      <c r="W15" s="15">
        <f t="shared" si="1"/>
        <v>22</v>
      </c>
      <c r="X15" s="16" t="str">
        <f t="shared" si="2"/>
        <v>Archers</v>
      </c>
      <c r="Y15" s="1" t="s">
        <v>11</v>
      </c>
      <c r="Z15" s="15">
        <f>3*W15</f>
        <v>66</v>
      </c>
      <c r="AA15" s="1" t="s">
        <v>10</v>
      </c>
      <c r="AB15" s="1"/>
      <c r="AC15" s="1"/>
      <c r="AD15" s="1"/>
    </row>
    <row r="16" spans="1:30" x14ac:dyDescent="0.25">
      <c r="A16" s="19">
        <v>0</v>
      </c>
      <c r="B16" s="18" t="s">
        <v>16</v>
      </c>
      <c r="C16" s="1" t="s">
        <v>11</v>
      </c>
      <c r="D16" s="15">
        <f>4*A16</f>
        <v>0</v>
      </c>
      <c r="E16" s="1" t="s">
        <v>13</v>
      </c>
      <c r="F16" s="15">
        <f>2*A16</f>
        <v>0</v>
      </c>
      <c r="G16" s="1" t="s">
        <v>4</v>
      </c>
      <c r="H16" s="1"/>
      <c r="I16" s="2"/>
      <c r="J16" s="7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0</v>
      </c>
      <c r="V16" s="17" t="s">
        <v>1</v>
      </c>
      <c r="W16" s="15">
        <f t="shared" si="1"/>
        <v>0</v>
      </c>
      <c r="X16" s="16" t="str">
        <f t="shared" si="2"/>
        <v>Cavaliers</v>
      </c>
      <c r="Y16" s="1" t="s">
        <v>11</v>
      </c>
      <c r="Z16" s="15">
        <f>4*W16</f>
        <v>0</v>
      </c>
      <c r="AA16" s="1" t="s">
        <v>13</v>
      </c>
      <c r="AB16" s="15">
        <f>2*W16</f>
        <v>0</v>
      </c>
      <c r="AC16" s="1" t="s">
        <v>4</v>
      </c>
      <c r="AD16" s="1"/>
    </row>
    <row r="17" spans="1:30" x14ac:dyDescent="0.25">
      <c r="A17" s="19">
        <v>59</v>
      </c>
      <c r="B17" s="18" t="s">
        <v>15</v>
      </c>
      <c r="C17" s="1" t="s">
        <v>11</v>
      </c>
      <c r="D17" s="15">
        <f>1*A17</f>
        <v>59</v>
      </c>
      <c r="E17" s="1" t="s">
        <v>13</v>
      </c>
      <c r="F17" s="15">
        <f>3*A17</f>
        <v>177</v>
      </c>
      <c r="G17" s="1" t="s">
        <v>4</v>
      </c>
      <c r="H17" s="1"/>
      <c r="I17" s="2"/>
      <c r="J17" s="7" t="s">
        <v>43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59</v>
      </c>
      <c r="V17" s="17" t="s">
        <v>1</v>
      </c>
      <c r="W17" s="15">
        <f t="shared" si="1"/>
        <v>19</v>
      </c>
      <c r="X17" s="16" t="str">
        <f t="shared" si="2"/>
        <v>Mineurs</v>
      </c>
      <c r="Y17" s="1" t="s">
        <v>11</v>
      </c>
      <c r="Z17" s="15">
        <f>1*W17</f>
        <v>19</v>
      </c>
      <c r="AA17" s="1" t="s">
        <v>13</v>
      </c>
      <c r="AB17" s="15">
        <f>3*W17</f>
        <v>57</v>
      </c>
      <c r="AC17" s="1" t="s">
        <v>4</v>
      </c>
      <c r="AD17" s="1"/>
    </row>
    <row r="18" spans="1:30" x14ac:dyDescent="0.25">
      <c r="A18" s="19">
        <v>242</v>
      </c>
      <c r="B18" s="18" t="s">
        <v>98</v>
      </c>
      <c r="C18" s="1" t="s">
        <v>11</v>
      </c>
      <c r="D18" s="15">
        <f>15*A18</f>
        <v>3630</v>
      </c>
      <c r="E18" s="1" t="s">
        <v>13</v>
      </c>
      <c r="F18" s="15">
        <f>50*A18</f>
        <v>12100</v>
      </c>
      <c r="G18" s="1" t="s">
        <v>4</v>
      </c>
      <c r="H18" s="1"/>
      <c r="I18" s="2"/>
      <c r="J18" s="7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242</v>
      </c>
      <c r="V18" s="17" t="s">
        <v>1</v>
      </c>
      <c r="W18" s="15">
        <f t="shared" si="1"/>
        <v>77</v>
      </c>
      <c r="X18" s="16" t="str">
        <f t="shared" si="2"/>
        <v>Engins de Guerre</v>
      </c>
      <c r="Y18" s="1" t="s">
        <v>11</v>
      </c>
      <c r="Z18" s="15">
        <f>15*W18</f>
        <v>1155</v>
      </c>
      <c r="AA18" s="1" t="s">
        <v>13</v>
      </c>
      <c r="AB18" s="15">
        <f>50*W18</f>
        <v>3850</v>
      </c>
      <c r="AC18" s="1" t="s">
        <v>4</v>
      </c>
      <c r="AD18" s="1"/>
    </row>
    <row r="19" spans="1:30" x14ac:dyDescent="0.25">
      <c r="A19" s="19">
        <v>290</v>
      </c>
      <c r="B19" s="18" t="s">
        <v>114</v>
      </c>
      <c r="C19" s="1" t="s">
        <v>11</v>
      </c>
      <c r="D19" s="15">
        <f>10*A19</f>
        <v>2900</v>
      </c>
      <c r="E19" s="1" t="s">
        <v>10</v>
      </c>
      <c r="F19" s="1"/>
      <c r="G19" s="1"/>
      <c r="H19" s="1"/>
      <c r="I19" s="2"/>
      <c r="J19" s="7" t="s">
        <v>41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290</v>
      </c>
      <c r="V19" s="17" t="s">
        <v>1</v>
      </c>
      <c r="W19" s="15">
        <f t="shared" si="1"/>
        <v>93</v>
      </c>
      <c r="X19" s="16" t="str">
        <f t="shared" si="2"/>
        <v>Légionnaires</v>
      </c>
      <c r="Y19" s="1" t="s">
        <v>11</v>
      </c>
      <c r="Z19" s="15">
        <f>10*W19</f>
        <v>930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6869</v>
      </c>
      <c r="E20" s="8" t="s">
        <v>5</v>
      </c>
      <c r="F20" s="10">
        <f>D14+D15+F16+F17+F18+D19</f>
        <v>15457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6869</v>
      </c>
      <c r="Y20" s="11" t="s">
        <v>1</v>
      </c>
      <c r="Z20" s="10">
        <f>Z14+Z15+Z16+Z17+Z18+Z19</f>
        <v>2192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40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15457</v>
      </c>
      <c r="Y21" s="11" t="s">
        <v>1</v>
      </c>
      <c r="Z21" s="10">
        <f>Z14+Z15+AB16+AB17+AB18+Z19</f>
        <v>4925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100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100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39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38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37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/>
      <c r="B27" s="18" t="s">
        <v>18</v>
      </c>
      <c r="C27" s="1" t="s">
        <v>11</v>
      </c>
      <c r="D27" s="15">
        <f>2*A27</f>
        <v>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0</v>
      </c>
      <c r="V27" s="17" t="s">
        <v>1</v>
      </c>
      <c r="W27" s="15">
        <f t="shared" ref="W27:W32" si="4">ROUND(U27*(1-X$10/100),0)</f>
        <v>0</v>
      </c>
      <c r="X27" s="16" t="str">
        <f t="shared" ref="X27:X32" si="5">B27</f>
        <v>Fantassins</v>
      </c>
      <c r="Y27" s="1" t="s">
        <v>11</v>
      </c>
      <c r="Z27" s="15">
        <f>2*W27</f>
        <v>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36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0</v>
      </c>
      <c r="V28" s="17" t="s">
        <v>1</v>
      </c>
      <c r="W28" s="15">
        <f t="shared" si="4"/>
        <v>0</v>
      </c>
      <c r="X28" s="16" t="str">
        <f t="shared" si="5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4*A29</f>
        <v>0</v>
      </c>
      <c r="E29" s="1" t="s">
        <v>13</v>
      </c>
      <c r="F29" s="15">
        <f>2*A29</f>
        <v>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0</v>
      </c>
      <c r="V29" s="17" t="s">
        <v>1</v>
      </c>
      <c r="W29" s="15">
        <f t="shared" si="4"/>
        <v>0</v>
      </c>
      <c r="X29" s="16" t="str">
        <f t="shared" si="5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35</v>
      </c>
      <c r="K30" s="1"/>
      <c r="L30" s="1"/>
      <c r="M30" s="1"/>
      <c r="N30" s="1"/>
      <c r="O30" s="1"/>
      <c r="P30" s="1"/>
      <c r="Q30" s="1"/>
      <c r="R30" s="31" t="s">
        <v>34</v>
      </c>
      <c r="S30" s="29">
        <v>12</v>
      </c>
      <c r="T30" s="2"/>
      <c r="U30" s="15">
        <f t="shared" si="3"/>
        <v>0</v>
      </c>
      <c r="V30" s="17" t="s">
        <v>1</v>
      </c>
      <c r="W30" s="15">
        <f t="shared" si="4"/>
        <v>0</v>
      </c>
      <c r="X30" s="16" t="str">
        <f t="shared" si="5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33</v>
      </c>
      <c r="K31" s="1"/>
      <c r="L31" s="1"/>
      <c r="M31" s="1"/>
      <c r="N31" s="1"/>
      <c r="O31" s="1"/>
      <c r="P31" s="1"/>
      <c r="Q31" s="1"/>
      <c r="R31" s="1"/>
      <c r="S31" s="29">
        <v>2</v>
      </c>
      <c r="T31" s="2"/>
      <c r="U31" s="15">
        <f t="shared" si="3"/>
        <v>0</v>
      </c>
      <c r="V31" s="17" t="s">
        <v>1</v>
      </c>
      <c r="W31" s="15">
        <f t="shared" si="4"/>
        <v>0</v>
      </c>
      <c r="X31" s="16" t="str">
        <f t="shared" si="5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12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0</v>
      </c>
      <c r="V32" s="17" t="s">
        <v>1</v>
      </c>
      <c r="W32" s="15">
        <f t="shared" si="4"/>
        <v>0</v>
      </c>
      <c r="X32" s="16" t="str">
        <f t="shared" si="5"/>
        <v>Troupes d'Élite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0</v>
      </c>
      <c r="E33" s="8" t="s">
        <v>5</v>
      </c>
      <c r="F33" s="10">
        <f>D27+D28+F29+F30+F31+D32</f>
        <v>0</v>
      </c>
      <c r="G33" s="8" t="s">
        <v>4</v>
      </c>
      <c r="H33" s="1"/>
      <c r="I33" s="2"/>
      <c r="J33" s="30" t="s">
        <v>32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0</v>
      </c>
      <c r="Y33" s="11" t="s">
        <v>1</v>
      </c>
      <c r="Z33" s="10">
        <f>Z27+Z28+Z29+Z30+Z31+Z32</f>
        <v>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0</v>
      </c>
      <c r="Y34" s="11" t="s">
        <v>1</v>
      </c>
      <c r="Z34" s="10">
        <f>Z27+Z28+AB29+AB30+AB31+Z32</f>
        <v>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0</v>
      </c>
      <c r="E35" s="8" t="s">
        <v>6</v>
      </c>
      <c r="F35" s="1"/>
      <c r="G35" s="1"/>
      <c r="H35" s="1"/>
      <c r="I35" s="2"/>
      <c r="J35" s="1" t="s">
        <v>30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8 D6</v>
      </c>
      <c r="L35" s="1" t="s">
        <v>31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30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1 D6</v>
      </c>
      <c r="L36" s="1" t="s">
        <v>29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28</v>
      </c>
      <c r="K38" s="1"/>
      <c r="L38" s="1"/>
      <c r="M38" s="1"/>
      <c r="N38" s="1"/>
      <c r="O38" s="1"/>
      <c r="P38" s="1"/>
      <c r="Q38" s="1"/>
      <c r="R38" s="1"/>
      <c r="S38" s="29">
        <v>33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27</v>
      </c>
      <c r="K39" s="1"/>
      <c r="L39" s="1"/>
      <c r="M39" s="1"/>
      <c r="N39" s="1"/>
      <c r="O39" s="1"/>
      <c r="P39" s="1"/>
      <c r="Q39" s="1"/>
      <c r="R39" s="1"/>
      <c r="S39" s="29">
        <v>3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26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68</v>
      </c>
      <c r="O41" s="1" t="s">
        <v>6</v>
      </c>
      <c r="P41" s="1"/>
      <c r="Q41" s="1"/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25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4</v>
      </c>
      <c r="O42" s="1" t="s">
        <v>6</v>
      </c>
      <c r="P42" s="1"/>
      <c r="Q42" s="1"/>
      <c r="R42" s="1"/>
      <c r="S42" s="1"/>
      <c r="T42" s="2"/>
      <c r="U42" s="15">
        <f t="shared" si="6"/>
        <v>0</v>
      </c>
      <c r="V42" s="17" t="s">
        <v>1</v>
      </c>
      <c r="W42" s="15">
        <f t="shared" si="7"/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 t="shared" si="7"/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 t="shared" si="7"/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6869</v>
      </c>
      <c r="E50" s="3" t="s">
        <v>5</v>
      </c>
      <c r="F50" s="4">
        <f>F20+F33+F46</f>
        <v>15457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6869</v>
      </c>
      <c r="Y50" s="5" t="s">
        <v>1</v>
      </c>
      <c r="Z50" s="4">
        <f>Z20+Z33+Z46</f>
        <v>2192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15457</v>
      </c>
      <c r="Y51" s="5" t="s">
        <v>1</v>
      </c>
      <c r="Z51" s="4">
        <f>Z21+Z34+Z47</f>
        <v>4925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24</v>
      </c>
      <c r="B54" s="18" t="s">
        <v>111</v>
      </c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23</v>
      </c>
      <c r="V54" s="7"/>
      <c r="W54" s="1"/>
      <c r="X54" s="18">
        <v>4</v>
      </c>
      <c r="Y54" s="1" t="s">
        <v>22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113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La Faucheuse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 t="s">
        <v>80</v>
      </c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 t="str">
        <f t="shared" si="9"/>
        <v># Roi Manoster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448</v>
      </c>
      <c r="B58" s="18" t="s">
        <v>18</v>
      </c>
      <c r="C58" s="1" t="s">
        <v>11</v>
      </c>
      <c r="D58" s="15">
        <f>2*A58</f>
        <v>896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9"/>
        <v>448</v>
      </c>
      <c r="V58" s="17" t="s">
        <v>1</v>
      </c>
      <c r="W58" s="15">
        <f t="shared" ref="W58:W63" si="10">ROUND(U58*(1-X$54/100),0)</f>
        <v>430</v>
      </c>
      <c r="X58" s="16" t="str">
        <f t="shared" ref="X58:X63" si="11">B58</f>
        <v>Fantassins</v>
      </c>
      <c r="Y58" s="1" t="s">
        <v>11</v>
      </c>
      <c r="Z58" s="15">
        <f>2*W58</f>
        <v>860</v>
      </c>
      <c r="AA58" s="1" t="s">
        <v>10</v>
      </c>
      <c r="AB58" s="1"/>
      <c r="AC58" s="1"/>
      <c r="AD58" s="1"/>
    </row>
    <row r="59" spans="1:30" x14ac:dyDescent="0.25">
      <c r="A59" s="19">
        <v>224</v>
      </c>
      <c r="B59" s="18" t="s">
        <v>17</v>
      </c>
      <c r="C59" s="1" t="s">
        <v>11</v>
      </c>
      <c r="D59" s="15">
        <f>3*A59</f>
        <v>672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224</v>
      </c>
      <c r="V59" s="17" t="s">
        <v>1</v>
      </c>
      <c r="W59" s="15">
        <f t="shared" si="10"/>
        <v>215</v>
      </c>
      <c r="X59" s="16" t="str">
        <f t="shared" si="11"/>
        <v>Archers</v>
      </c>
      <c r="Y59" s="1" t="s">
        <v>11</v>
      </c>
      <c r="Z59" s="15">
        <f>3*W59</f>
        <v>645</v>
      </c>
      <c r="AA59" s="1" t="s">
        <v>10</v>
      </c>
      <c r="AB59" s="1"/>
      <c r="AC59" s="1"/>
      <c r="AD59" s="1"/>
    </row>
    <row r="60" spans="1:30" x14ac:dyDescent="0.25">
      <c r="A60" s="19">
        <v>125</v>
      </c>
      <c r="B60" s="18" t="s">
        <v>16</v>
      </c>
      <c r="C60" s="1" t="s">
        <v>11</v>
      </c>
      <c r="D60" s="15">
        <f>4*A60</f>
        <v>500</v>
      </c>
      <c r="E60" s="1" t="s">
        <v>13</v>
      </c>
      <c r="F60" s="15">
        <f>2*A60</f>
        <v>250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9"/>
        <v>125</v>
      </c>
      <c r="V60" s="17" t="s">
        <v>1</v>
      </c>
      <c r="W60" s="15">
        <f t="shared" si="10"/>
        <v>120</v>
      </c>
      <c r="X60" s="16" t="str">
        <f t="shared" si="11"/>
        <v>Cavaliers</v>
      </c>
      <c r="Y60" s="1" t="s">
        <v>11</v>
      </c>
      <c r="Z60" s="15">
        <f>4*W60</f>
        <v>480</v>
      </c>
      <c r="AA60" s="1" t="s">
        <v>13</v>
      </c>
      <c r="AB60" s="15">
        <f>2*W60</f>
        <v>240</v>
      </c>
      <c r="AC60" s="1" t="s">
        <v>4</v>
      </c>
      <c r="AD60" s="1"/>
    </row>
    <row r="61" spans="1:30" x14ac:dyDescent="0.25">
      <c r="A61" s="19">
        <v>125</v>
      </c>
      <c r="B61" s="18" t="s">
        <v>15</v>
      </c>
      <c r="C61" s="1" t="s">
        <v>11</v>
      </c>
      <c r="D61" s="15">
        <f>1*A61</f>
        <v>125</v>
      </c>
      <c r="E61" s="1" t="s">
        <v>13</v>
      </c>
      <c r="F61" s="15">
        <f>3*A61</f>
        <v>375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125</v>
      </c>
      <c r="V61" s="17" t="s">
        <v>1</v>
      </c>
      <c r="W61" s="15">
        <f t="shared" si="10"/>
        <v>120</v>
      </c>
      <c r="X61" s="16" t="str">
        <f t="shared" si="11"/>
        <v>Mineurs</v>
      </c>
      <c r="Y61" s="1" t="s">
        <v>11</v>
      </c>
      <c r="Z61" s="15">
        <f>1*W61</f>
        <v>120</v>
      </c>
      <c r="AA61" s="1" t="s">
        <v>13</v>
      </c>
      <c r="AB61" s="15">
        <f>3*W61</f>
        <v>360</v>
      </c>
      <c r="AC61" s="1" t="s">
        <v>4</v>
      </c>
      <c r="AD61" s="1"/>
    </row>
    <row r="62" spans="1:30" x14ac:dyDescent="0.25">
      <c r="A62" s="19">
        <v>10</v>
      </c>
      <c r="B62" s="18" t="s">
        <v>14</v>
      </c>
      <c r="C62" s="1" t="s">
        <v>11</v>
      </c>
      <c r="D62" s="15">
        <f>15*A62</f>
        <v>150</v>
      </c>
      <c r="E62" s="1" t="s">
        <v>13</v>
      </c>
      <c r="F62" s="15">
        <f>50*A62</f>
        <v>500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10</v>
      </c>
      <c r="V62" s="17" t="s">
        <v>1</v>
      </c>
      <c r="W62" s="15">
        <f t="shared" si="10"/>
        <v>10</v>
      </c>
      <c r="X62" s="16" t="str">
        <f t="shared" si="11"/>
        <v>Engins de Siège</v>
      </c>
      <c r="Y62" s="1" t="s">
        <v>11</v>
      </c>
      <c r="Z62" s="15">
        <f>15*W62</f>
        <v>150</v>
      </c>
      <c r="AA62" s="1" t="s">
        <v>13</v>
      </c>
      <c r="AB62" s="15">
        <f>50*W62</f>
        <v>500</v>
      </c>
      <c r="AC62" s="1" t="s">
        <v>4</v>
      </c>
      <c r="AD62" s="1"/>
    </row>
    <row r="63" spans="1:30" x14ac:dyDescent="0.25">
      <c r="A63" s="19">
        <v>614</v>
      </c>
      <c r="B63" s="18" t="s">
        <v>94</v>
      </c>
      <c r="C63" s="1" t="s">
        <v>11</v>
      </c>
      <c r="D63" s="15">
        <f>10*A63</f>
        <v>6140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614</v>
      </c>
      <c r="V63" s="17" t="s">
        <v>1</v>
      </c>
      <c r="W63" s="15">
        <f t="shared" si="10"/>
        <v>589</v>
      </c>
      <c r="X63" s="16" t="str">
        <f t="shared" si="11"/>
        <v>Mages</v>
      </c>
      <c r="Y63" s="1" t="s">
        <v>11</v>
      </c>
      <c r="Z63" s="15">
        <f>10*W63</f>
        <v>5890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8483</v>
      </c>
      <c r="E64" s="8" t="s">
        <v>5</v>
      </c>
      <c r="F64" s="10">
        <f>D58+D59+F60+F61+F62+D63</f>
        <v>8833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8483</v>
      </c>
      <c r="Y64" s="11" t="s">
        <v>1</v>
      </c>
      <c r="Z64" s="10">
        <f>Z58+Z59+Z60+Z61+Z62+Z63</f>
        <v>8145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8833</v>
      </c>
      <c r="Y65" s="11" t="s">
        <v>1</v>
      </c>
      <c r="Z65" s="10">
        <f>Z58+Z59+AB60+AB61+AB62+Z63</f>
        <v>8495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16.240379829230005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16.243219527760051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112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2">A69</f>
        <v># Force d'Interception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19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2"/>
        <v>(Notifier la présence éventuelle du Roi ou du Vassal ici)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>
        <v>4011</v>
      </c>
      <c r="B71" s="18" t="s">
        <v>18</v>
      </c>
      <c r="C71" s="1" t="s">
        <v>11</v>
      </c>
      <c r="D71" s="15">
        <f>2*A71</f>
        <v>8022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2"/>
        <v>4011</v>
      </c>
      <c r="V71" s="17" t="s">
        <v>1</v>
      </c>
      <c r="W71" s="15">
        <f t="shared" ref="W71:W76" si="13">ROUND(U71*(1-X$54/100),0)</f>
        <v>3851</v>
      </c>
      <c r="X71" s="16" t="str">
        <f t="shared" ref="X71:X76" si="14">B71</f>
        <v>Fantassins</v>
      </c>
      <c r="Y71" s="1" t="s">
        <v>11</v>
      </c>
      <c r="Z71" s="15">
        <f>2*W71</f>
        <v>7702</v>
      </c>
      <c r="AA71" s="1" t="s">
        <v>10</v>
      </c>
      <c r="AB71" s="1"/>
      <c r="AC71" s="1"/>
      <c r="AD71" s="1"/>
    </row>
    <row r="72" spans="1:30" x14ac:dyDescent="0.25">
      <c r="A72" s="19">
        <v>4011</v>
      </c>
      <c r="B72" s="18" t="s">
        <v>17</v>
      </c>
      <c r="C72" s="1" t="s">
        <v>11</v>
      </c>
      <c r="D72" s="15">
        <f>3*A72</f>
        <v>12033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2"/>
        <v>4011</v>
      </c>
      <c r="V72" s="17" t="s">
        <v>1</v>
      </c>
      <c r="W72" s="15">
        <f t="shared" si="13"/>
        <v>3851</v>
      </c>
      <c r="X72" s="16" t="str">
        <f t="shared" si="14"/>
        <v>Archers</v>
      </c>
      <c r="Y72" s="1" t="s">
        <v>11</v>
      </c>
      <c r="Z72" s="15">
        <f>3*W72</f>
        <v>11553</v>
      </c>
      <c r="AA72" s="1" t="s">
        <v>10</v>
      </c>
      <c r="AB72" s="1"/>
      <c r="AC72" s="1"/>
      <c r="AD72" s="1"/>
    </row>
    <row r="73" spans="1:30" x14ac:dyDescent="0.25">
      <c r="A73" s="19">
        <v>814</v>
      </c>
      <c r="B73" s="18" t="s">
        <v>16</v>
      </c>
      <c r="C73" s="1" t="s">
        <v>11</v>
      </c>
      <c r="D73" s="15">
        <f>4*A73</f>
        <v>3256</v>
      </c>
      <c r="E73" s="1" t="s">
        <v>13</v>
      </c>
      <c r="F73" s="15">
        <f>2*A73</f>
        <v>1628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2"/>
        <v>814</v>
      </c>
      <c r="V73" s="17" t="s">
        <v>1</v>
      </c>
      <c r="W73" s="15">
        <f t="shared" si="13"/>
        <v>781</v>
      </c>
      <c r="X73" s="16" t="str">
        <f t="shared" si="14"/>
        <v>Cavaliers</v>
      </c>
      <c r="Y73" s="1" t="s">
        <v>11</v>
      </c>
      <c r="Z73" s="15">
        <f>4*W73</f>
        <v>3124</v>
      </c>
      <c r="AA73" s="1" t="s">
        <v>13</v>
      </c>
      <c r="AB73" s="15">
        <f>2*W73</f>
        <v>1562</v>
      </c>
      <c r="AC73" s="1" t="s">
        <v>4</v>
      </c>
      <c r="AD73" s="1"/>
    </row>
    <row r="74" spans="1:30" x14ac:dyDescent="0.25">
      <c r="A74" s="19">
        <v>0</v>
      </c>
      <c r="B74" s="18" t="s">
        <v>15</v>
      </c>
      <c r="C74" s="1" t="s">
        <v>11</v>
      </c>
      <c r="D74" s="15">
        <f>1*A74</f>
        <v>0</v>
      </c>
      <c r="E74" s="1" t="s">
        <v>13</v>
      </c>
      <c r="F74" s="15">
        <f>3*A74</f>
        <v>0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2"/>
        <v>0</v>
      </c>
      <c r="V74" s="17" t="s">
        <v>1</v>
      </c>
      <c r="W74" s="15">
        <f t="shared" si="13"/>
        <v>0</v>
      </c>
      <c r="X74" s="16" t="str">
        <f t="shared" si="14"/>
        <v>Mineurs</v>
      </c>
      <c r="Y74" s="1" t="s">
        <v>11</v>
      </c>
      <c r="Z74" s="15">
        <f>1*W74</f>
        <v>0</v>
      </c>
      <c r="AA74" s="1" t="s">
        <v>13</v>
      </c>
      <c r="AB74" s="15">
        <f>3*W74</f>
        <v>0</v>
      </c>
      <c r="AC74" s="1" t="s">
        <v>4</v>
      </c>
      <c r="AD74" s="1"/>
    </row>
    <row r="75" spans="1:30" x14ac:dyDescent="0.25">
      <c r="A75" s="19">
        <v>0</v>
      </c>
      <c r="B75" s="18" t="s">
        <v>14</v>
      </c>
      <c r="C75" s="1" t="s">
        <v>11</v>
      </c>
      <c r="D75" s="15">
        <f>15*A75</f>
        <v>0</v>
      </c>
      <c r="E75" s="1" t="s">
        <v>13</v>
      </c>
      <c r="F75" s="15">
        <f>50*A75</f>
        <v>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2"/>
        <v>0</v>
      </c>
      <c r="V75" s="17" t="s">
        <v>1</v>
      </c>
      <c r="W75" s="15">
        <f t="shared" si="13"/>
        <v>0</v>
      </c>
      <c r="X75" s="16" t="str">
        <f t="shared" si="14"/>
        <v>Engins de Siège</v>
      </c>
      <c r="Y75" s="1" t="s">
        <v>11</v>
      </c>
      <c r="Z75" s="15">
        <f>15*W75</f>
        <v>0</v>
      </c>
      <c r="AA75" s="1" t="s">
        <v>13</v>
      </c>
      <c r="AB75" s="15">
        <f>50*W75</f>
        <v>0</v>
      </c>
      <c r="AC75" s="1" t="s">
        <v>4</v>
      </c>
      <c r="AD75" s="1"/>
    </row>
    <row r="76" spans="1:30" x14ac:dyDescent="0.25">
      <c r="A76" s="19">
        <v>2044</v>
      </c>
      <c r="B76" s="18" t="s">
        <v>94</v>
      </c>
      <c r="C76" s="1" t="s">
        <v>11</v>
      </c>
      <c r="D76" s="15">
        <f>10*A76</f>
        <v>20440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2"/>
        <v>2044</v>
      </c>
      <c r="V76" s="17" t="s">
        <v>1</v>
      </c>
      <c r="W76" s="15">
        <f t="shared" si="13"/>
        <v>1962</v>
      </c>
      <c r="X76" s="16" t="str">
        <f t="shared" si="14"/>
        <v>Mages</v>
      </c>
      <c r="Y76" s="1" t="s">
        <v>11</v>
      </c>
      <c r="Z76" s="15">
        <f>10*W76</f>
        <v>19620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43751</v>
      </c>
      <c r="E77" s="8" t="s">
        <v>5</v>
      </c>
      <c r="F77" s="10">
        <f>D71+D72+F73+F74+F75+D76</f>
        <v>42123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43751</v>
      </c>
      <c r="Y77" s="11" t="s">
        <v>1</v>
      </c>
      <c r="Z77" s="10">
        <f>Z71+Z72+Z73+Z74+Z75+Z76</f>
        <v>41999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42123</v>
      </c>
      <c r="Y78" s="11" t="s">
        <v>1</v>
      </c>
      <c r="Z78" s="10">
        <f>Z71+Z72+AB73+AB74+AB75+Z76</f>
        <v>40437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83.759620170769992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83.756780472239953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5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5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5"/>
        <v>0</v>
      </c>
      <c r="V84" s="17" t="s">
        <v>1</v>
      </c>
      <c r="W84" s="15">
        <f t="shared" ref="W84:W89" si="16">ROUND(U84*(1-X$54/100),0)</f>
        <v>0</v>
      </c>
      <c r="X84" s="16" t="str">
        <f t="shared" ref="X84:X89" si="17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5"/>
        <v>0</v>
      </c>
      <c r="V85" s="17" t="s">
        <v>1</v>
      </c>
      <c r="W85" s="15">
        <f t="shared" si="16"/>
        <v>0</v>
      </c>
      <c r="X85" s="16" t="str">
        <f t="shared" si="17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5"/>
        <v>0</v>
      </c>
      <c r="V86" s="17" t="s">
        <v>1</v>
      </c>
      <c r="W86" s="15">
        <f t="shared" si="16"/>
        <v>0</v>
      </c>
      <c r="X86" s="16" t="str">
        <f t="shared" si="17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5"/>
        <v>0</v>
      </c>
      <c r="V87" s="17" t="s">
        <v>1</v>
      </c>
      <c r="W87" s="15">
        <f t="shared" si="16"/>
        <v>0</v>
      </c>
      <c r="X87" s="16" t="str">
        <f t="shared" si="17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5"/>
        <v>0</v>
      </c>
      <c r="V88" s="17" t="s">
        <v>1</v>
      </c>
      <c r="W88" s="15">
        <f t="shared" si="16"/>
        <v>0</v>
      </c>
      <c r="X88" s="16" t="str">
        <f t="shared" si="17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5"/>
        <v>0</v>
      </c>
      <c r="V89" s="17" t="s">
        <v>1</v>
      </c>
      <c r="W89" s="15">
        <f t="shared" si="16"/>
        <v>0</v>
      </c>
      <c r="X89" s="16" t="str">
        <f t="shared" si="17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52234</v>
      </c>
      <c r="E94" s="3" t="s">
        <v>5</v>
      </c>
      <c r="F94" s="4">
        <f>F64+F77+F90</f>
        <v>50956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52234</v>
      </c>
      <c r="Y94" s="5" t="s">
        <v>1</v>
      </c>
      <c r="Z94" s="4">
        <f>Z64+Z77+Z90</f>
        <v>50144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50956</v>
      </c>
      <c r="Y95" s="5" t="s">
        <v>1</v>
      </c>
      <c r="Z95" s="4">
        <f>Z65+Z78+Z91</f>
        <v>48932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137" priority="31" operator="greaterThanOrEqual">
      <formula>25</formula>
    </cfRule>
    <cfRule type="cellIs" dxfId="136" priority="32" operator="lessThan">
      <formula>25</formula>
    </cfRule>
  </conditionalFormatting>
  <conditionalFormatting sqref="D35">
    <cfRule type="cellIs" dxfId="135" priority="29" operator="greaterThanOrEqual">
      <formula>25</formula>
    </cfRule>
    <cfRule type="cellIs" dxfId="134" priority="30" operator="lessThan">
      <formula>25</formula>
    </cfRule>
  </conditionalFormatting>
  <conditionalFormatting sqref="D48">
    <cfRule type="cellIs" dxfId="133" priority="27" operator="greaterThanOrEqual">
      <formula>25</formula>
    </cfRule>
    <cfRule type="cellIs" dxfId="132" priority="28" operator="lessThan">
      <formula>25</formula>
    </cfRule>
  </conditionalFormatting>
  <conditionalFormatting sqref="D66:D68">
    <cfRule type="cellIs" dxfId="131" priority="23" operator="greaterThanOrEqual">
      <formula>25</formula>
    </cfRule>
    <cfRule type="cellIs" dxfId="130" priority="24" operator="lessThan">
      <formula>25</formula>
    </cfRule>
  </conditionalFormatting>
  <conditionalFormatting sqref="D79">
    <cfRule type="cellIs" dxfId="129" priority="21" operator="greaterThanOrEqual">
      <formula>25</formula>
    </cfRule>
    <cfRule type="cellIs" dxfId="128" priority="22" operator="lessThan">
      <formula>25</formula>
    </cfRule>
  </conditionalFormatting>
  <conditionalFormatting sqref="D92">
    <cfRule type="cellIs" dxfId="127" priority="19" operator="greaterThanOrEqual">
      <formula>25</formula>
    </cfRule>
    <cfRule type="cellIs" dxfId="126" priority="20" operator="lessThan">
      <formula>25</formula>
    </cfRule>
  </conditionalFormatting>
  <conditionalFormatting sqref="D36:D37">
    <cfRule type="cellIs" dxfId="125" priority="25" operator="greaterThanOrEqual">
      <formula>25</formula>
    </cfRule>
    <cfRule type="cellIs" dxfId="124" priority="26" operator="lessThan">
      <formula>25</formula>
    </cfRule>
  </conditionalFormatting>
  <conditionalFormatting sqref="D80:D81">
    <cfRule type="cellIs" dxfId="123" priority="17" operator="greaterThanOrEqual">
      <formula>25</formula>
    </cfRule>
    <cfRule type="cellIs" dxfId="122" priority="18" operator="lessThan">
      <formula>25</formula>
    </cfRule>
  </conditionalFormatting>
  <conditionalFormatting sqref="Z22:Z24">
    <cfRule type="cellIs" dxfId="121" priority="15" operator="greaterThanOrEqual">
      <formula>25</formula>
    </cfRule>
    <cfRule type="cellIs" dxfId="120" priority="16" operator="lessThan">
      <formula>25</formula>
    </cfRule>
  </conditionalFormatting>
  <conditionalFormatting sqref="Z35">
    <cfRule type="cellIs" dxfId="119" priority="13" operator="greaterThanOrEqual">
      <formula>25</formula>
    </cfRule>
    <cfRule type="cellIs" dxfId="118" priority="14" operator="lessThan">
      <formula>25</formula>
    </cfRule>
  </conditionalFormatting>
  <conditionalFormatting sqref="Z48">
    <cfRule type="cellIs" dxfId="117" priority="11" operator="greaterThanOrEqual">
      <formula>25</formula>
    </cfRule>
    <cfRule type="cellIs" dxfId="116" priority="12" operator="lessThan">
      <formula>25</formula>
    </cfRule>
  </conditionalFormatting>
  <conditionalFormatting sqref="Z36:Z37">
    <cfRule type="cellIs" dxfId="115" priority="9" operator="greaterThanOrEqual">
      <formula>25</formula>
    </cfRule>
    <cfRule type="cellIs" dxfId="114" priority="10" operator="lessThan">
      <formula>25</formula>
    </cfRule>
  </conditionalFormatting>
  <conditionalFormatting sqref="Z66:Z68">
    <cfRule type="cellIs" dxfId="113" priority="7" operator="greaterThanOrEqual">
      <formula>25</formula>
    </cfRule>
    <cfRule type="cellIs" dxfId="112" priority="8" operator="lessThan">
      <formula>25</formula>
    </cfRule>
  </conditionalFormatting>
  <conditionalFormatting sqref="Z79">
    <cfRule type="cellIs" dxfId="111" priority="5" operator="greaterThanOrEqual">
      <formula>25</formula>
    </cfRule>
    <cfRule type="cellIs" dxfId="110" priority="6" operator="lessThan">
      <formula>25</formula>
    </cfRule>
  </conditionalFormatting>
  <conditionalFormatting sqref="Z92">
    <cfRule type="cellIs" dxfId="109" priority="3" operator="greaterThanOrEqual">
      <formula>25</formula>
    </cfRule>
    <cfRule type="cellIs" dxfId="108" priority="4" operator="lessThan">
      <formula>25</formula>
    </cfRule>
  </conditionalFormatting>
  <conditionalFormatting sqref="Z80:Z81">
    <cfRule type="cellIs" dxfId="107" priority="1" operator="greaterThanOrEqual">
      <formula>25</formula>
    </cfRule>
    <cfRule type="cellIs" dxfId="106" priority="2" operator="lessThan">
      <formula>25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opLeftCell="A10" workbookViewId="0">
      <selection activeCell="S65" sqref="S65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11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65</v>
      </c>
      <c r="B1" s="8"/>
      <c r="C1" s="8"/>
      <c r="D1" s="8"/>
      <c r="E1" s="8"/>
      <c r="F1" s="8"/>
      <c r="G1" s="8"/>
      <c r="H1" s="8"/>
      <c r="I1" s="36"/>
      <c r="J1" s="8" t="s">
        <v>64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63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62</v>
      </c>
      <c r="B2" s="35"/>
      <c r="C2" s="35"/>
      <c r="D2" s="35"/>
      <c r="E2" s="35"/>
      <c r="F2" s="35"/>
      <c r="G2" s="1"/>
      <c r="H2" s="1"/>
      <c r="I2" s="2"/>
      <c r="J2" s="1" t="s">
        <v>61</v>
      </c>
      <c r="K2" s="18" t="s">
        <v>60</v>
      </c>
      <c r="L2" s="1" t="s">
        <v>59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58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57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56</v>
      </c>
      <c r="B6" s="1"/>
      <c r="C6" s="1"/>
      <c r="D6" s="1"/>
      <c r="E6" s="1"/>
      <c r="F6" s="1"/>
      <c r="G6" s="1"/>
      <c r="H6" s="1"/>
      <c r="I6" s="2"/>
      <c r="J6" s="1" t="s">
        <v>55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54</v>
      </c>
      <c r="B7" s="1"/>
      <c r="C7" s="1"/>
      <c r="D7" s="1"/>
      <c r="E7" s="1"/>
      <c r="F7" s="1"/>
      <c r="G7" s="1"/>
      <c r="H7" s="1"/>
      <c r="I7" s="2"/>
      <c r="J7" s="1" t="s">
        <v>53</v>
      </c>
      <c r="L7" s="1"/>
      <c r="M7" s="1"/>
      <c r="N7" s="1"/>
      <c r="O7" s="1"/>
      <c r="P7" s="1"/>
      <c r="Q7" s="1"/>
      <c r="R7" s="16"/>
      <c r="S7" s="1" t="s">
        <v>52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24</v>
      </c>
      <c r="B10" s="18" t="s">
        <v>96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51</v>
      </c>
      <c r="V10" s="1"/>
      <c r="W10" s="1"/>
      <c r="X10" s="18">
        <v>45</v>
      </c>
      <c r="Y10" s="1" t="s">
        <v>22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120</v>
      </c>
      <c r="B12" s="20"/>
      <c r="C12" s="1"/>
      <c r="D12" s="1"/>
      <c r="E12" s="1"/>
      <c r="F12" s="1"/>
      <c r="G12" s="1"/>
      <c r="H12" s="1"/>
      <c r="I12" s="2"/>
      <c r="J12" s="16" t="s">
        <v>50</v>
      </c>
      <c r="K12" s="16"/>
      <c r="L12" s="15">
        <f>IF(OR(K2="Mer",K2="Siège"),IF(F50&gt;F94,F50,F94),IF(K2="Plaine",IF(D50&gt;D94,D50,D94),"Erreur !"))</f>
        <v>22750</v>
      </c>
      <c r="M12" s="16" t="s">
        <v>49</v>
      </c>
      <c r="N12" s="33">
        <f>IF(OR(K2="Mer",K2="Siège"),IF(F50&lt;=F94,F50,F94),IF(K2="Plaine",IF(D50&lt;=D94,D50,D94),"Erreur !"))</f>
        <v>18940</v>
      </c>
      <c r="O12" s="16" t="s">
        <v>48</v>
      </c>
      <c r="P12" s="32">
        <f>L12/N12</f>
        <v>1.2011615628299894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+1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Liandryl</v>
      </c>
      <c r="T12" s="2"/>
      <c r="U12" s="15" t="str">
        <f t="shared" ref="U12:U19" si="0">A12</f>
        <v xml:space="preserve">Détachement Impérial 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/>
      <c r="B13" s="1"/>
      <c r="C13" s="1"/>
      <c r="D13" s="1"/>
      <c r="E13" s="1"/>
      <c r="F13" s="1"/>
      <c r="G13" s="1"/>
      <c r="H13" s="1"/>
      <c r="I13" s="2"/>
      <c r="J13" s="1" t="s">
        <v>47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>
        <f t="shared" si="0"/>
        <v>0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/>
      <c r="B14" s="18" t="s">
        <v>18</v>
      </c>
      <c r="C14" s="1" t="s">
        <v>11</v>
      </c>
      <c r="D14" s="15">
        <f>2*A14</f>
        <v>0</v>
      </c>
      <c r="E14" s="1" t="s">
        <v>10</v>
      </c>
      <c r="F14" s="1"/>
      <c r="G14" s="1"/>
      <c r="H14" s="1"/>
      <c r="I14" s="2"/>
      <c r="J14" s="7" t="s">
        <v>46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0</v>
      </c>
      <c r="V14" s="17" t="s">
        <v>1</v>
      </c>
      <c r="W14" s="15">
        <f t="shared" ref="W14:W19" si="1">ROUND(U14*(1-X$10/100),0)</f>
        <v>0</v>
      </c>
      <c r="X14" s="16" t="str">
        <f t="shared" ref="X14:X19" si="2">B14</f>
        <v>Fantassins</v>
      </c>
      <c r="Y14" s="1" t="s">
        <v>11</v>
      </c>
      <c r="Z14" s="15">
        <f>2*W14</f>
        <v>0</v>
      </c>
      <c r="AA14" s="1" t="s">
        <v>10</v>
      </c>
      <c r="AB14" s="1"/>
      <c r="AC14" s="1"/>
      <c r="AD14" s="1"/>
    </row>
    <row r="15" spans="1:30" x14ac:dyDescent="0.25">
      <c r="A15" s="19"/>
      <c r="B15" s="18" t="s">
        <v>17</v>
      </c>
      <c r="C15" s="1" t="s">
        <v>11</v>
      </c>
      <c r="D15" s="15">
        <f>3*A15</f>
        <v>0</v>
      </c>
      <c r="E15" s="1" t="s">
        <v>10</v>
      </c>
      <c r="F15" s="1"/>
      <c r="G15" s="1"/>
      <c r="H15" s="1"/>
      <c r="I15" s="2"/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0</v>
      </c>
      <c r="V15" s="17" t="s">
        <v>1</v>
      </c>
      <c r="W15" s="15">
        <f t="shared" si="1"/>
        <v>0</v>
      </c>
      <c r="X15" s="16" t="str">
        <f t="shared" si="2"/>
        <v>Archers</v>
      </c>
      <c r="Y15" s="1" t="s">
        <v>11</v>
      </c>
      <c r="Z15" s="15">
        <f>3*W15</f>
        <v>0</v>
      </c>
      <c r="AA15" s="1" t="s">
        <v>10</v>
      </c>
      <c r="AB15" s="1"/>
      <c r="AC15" s="1"/>
      <c r="AD15" s="1"/>
    </row>
    <row r="16" spans="1:30" x14ac:dyDescent="0.25">
      <c r="A16" s="19">
        <v>200</v>
      </c>
      <c r="B16" s="18" t="s">
        <v>16</v>
      </c>
      <c r="C16" s="1" t="s">
        <v>11</v>
      </c>
      <c r="D16" s="15">
        <f>4*A16</f>
        <v>800</v>
      </c>
      <c r="E16" s="1" t="s">
        <v>13</v>
      </c>
      <c r="F16" s="15">
        <f>2*A16</f>
        <v>400</v>
      </c>
      <c r="G16" s="1" t="s">
        <v>4</v>
      </c>
      <c r="H16" s="1"/>
      <c r="I16" s="2"/>
      <c r="J16" s="7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200</v>
      </c>
      <c r="V16" s="17" t="s">
        <v>1</v>
      </c>
      <c r="W16" s="15">
        <f t="shared" si="1"/>
        <v>110</v>
      </c>
      <c r="X16" s="16" t="str">
        <f t="shared" si="2"/>
        <v>Cavaliers</v>
      </c>
      <c r="Y16" s="1" t="s">
        <v>11</v>
      </c>
      <c r="Z16" s="15">
        <f>4*W16</f>
        <v>440</v>
      </c>
      <c r="AA16" s="1" t="s">
        <v>13</v>
      </c>
      <c r="AB16" s="15">
        <f>2*W16</f>
        <v>220</v>
      </c>
      <c r="AC16" s="1" t="s">
        <v>4</v>
      </c>
      <c r="AD16" s="1"/>
    </row>
    <row r="17" spans="1:30" x14ac:dyDescent="0.25">
      <c r="A17" s="19"/>
      <c r="B17" s="18" t="s">
        <v>15</v>
      </c>
      <c r="C17" s="1" t="s">
        <v>11</v>
      </c>
      <c r="D17" s="15">
        <f>1*A17</f>
        <v>0</v>
      </c>
      <c r="E17" s="1" t="s">
        <v>13</v>
      </c>
      <c r="F17" s="15">
        <f>3*A17</f>
        <v>0</v>
      </c>
      <c r="G17" s="1" t="s">
        <v>4</v>
      </c>
      <c r="H17" s="1"/>
      <c r="I17" s="2"/>
      <c r="J17" s="7" t="s">
        <v>43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0</v>
      </c>
      <c r="V17" s="17" t="s">
        <v>1</v>
      </c>
      <c r="W17" s="15">
        <f t="shared" si="1"/>
        <v>0</v>
      </c>
      <c r="X17" s="16" t="str">
        <f t="shared" si="2"/>
        <v>Mineurs</v>
      </c>
      <c r="Y17" s="1" t="s">
        <v>11</v>
      </c>
      <c r="Z17" s="15">
        <f>1*W17</f>
        <v>0</v>
      </c>
      <c r="AA17" s="1" t="s">
        <v>13</v>
      </c>
      <c r="AB17" s="15">
        <f>3*W17</f>
        <v>0</v>
      </c>
      <c r="AC17" s="1" t="s">
        <v>4</v>
      </c>
      <c r="AD17" s="1"/>
    </row>
    <row r="18" spans="1:30" x14ac:dyDescent="0.25">
      <c r="A18" s="19"/>
      <c r="B18" s="18" t="s">
        <v>98</v>
      </c>
      <c r="C18" s="1" t="s">
        <v>11</v>
      </c>
      <c r="D18" s="15">
        <f>15*A18</f>
        <v>0</v>
      </c>
      <c r="E18" s="1" t="s">
        <v>13</v>
      </c>
      <c r="F18" s="15">
        <f>50*A18</f>
        <v>0</v>
      </c>
      <c r="G18" s="1" t="s">
        <v>4</v>
      </c>
      <c r="H18" s="1"/>
      <c r="I18" s="2"/>
      <c r="J18" s="7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0</v>
      </c>
      <c r="V18" s="17" t="s">
        <v>1</v>
      </c>
      <c r="W18" s="15">
        <f t="shared" si="1"/>
        <v>0</v>
      </c>
      <c r="X18" s="16" t="str">
        <f t="shared" si="2"/>
        <v>Engins de Guerre</v>
      </c>
      <c r="Y18" s="1" t="s">
        <v>11</v>
      </c>
      <c r="Z18" s="15">
        <f>15*W18</f>
        <v>0</v>
      </c>
      <c r="AA18" s="1" t="s">
        <v>13</v>
      </c>
      <c r="AB18" s="15">
        <f>50*W18</f>
        <v>0</v>
      </c>
      <c r="AC18" s="1" t="s">
        <v>4</v>
      </c>
      <c r="AD18" s="1"/>
    </row>
    <row r="19" spans="1:30" x14ac:dyDescent="0.25">
      <c r="A19" s="19">
        <v>1814</v>
      </c>
      <c r="B19" s="18" t="s">
        <v>114</v>
      </c>
      <c r="C19" s="1" t="s">
        <v>11</v>
      </c>
      <c r="D19" s="15">
        <f>10*A19</f>
        <v>18140</v>
      </c>
      <c r="E19" s="1" t="s">
        <v>10</v>
      </c>
      <c r="F19" s="1"/>
      <c r="G19" s="1"/>
      <c r="H19" s="1"/>
      <c r="I19" s="2"/>
      <c r="J19" s="7" t="s">
        <v>41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1814</v>
      </c>
      <c r="V19" s="17" t="s">
        <v>1</v>
      </c>
      <c r="W19" s="15">
        <f t="shared" si="1"/>
        <v>998</v>
      </c>
      <c r="X19" s="16" t="str">
        <f t="shared" si="2"/>
        <v>Légionnaires</v>
      </c>
      <c r="Y19" s="1" t="s">
        <v>11</v>
      </c>
      <c r="Z19" s="15">
        <f>10*W19</f>
        <v>9980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18940</v>
      </c>
      <c r="E20" s="8" t="s">
        <v>5</v>
      </c>
      <c r="F20" s="10">
        <f>D14+D15+F16+F17+F18+D19</f>
        <v>18540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18940</v>
      </c>
      <c r="Y20" s="11" t="s">
        <v>1</v>
      </c>
      <c r="Z20" s="10">
        <f>Z14+Z15+Z16+Z17+Z18+Z19</f>
        <v>10420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40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18540</v>
      </c>
      <c r="Y21" s="11" t="s">
        <v>1</v>
      </c>
      <c r="Z21" s="10">
        <f>Z14+Z15+AB16+AB17+AB18+Z19</f>
        <v>10200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100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100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39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38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37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/>
      <c r="B27" s="18" t="s">
        <v>18</v>
      </c>
      <c r="C27" s="1" t="s">
        <v>11</v>
      </c>
      <c r="D27" s="15">
        <f>2*A27</f>
        <v>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0</v>
      </c>
      <c r="V27" s="17" t="s">
        <v>1</v>
      </c>
      <c r="W27" s="15">
        <f t="shared" ref="W27:W32" si="4">ROUND(U27*(1-X$10/100),0)</f>
        <v>0</v>
      </c>
      <c r="X27" s="16" t="str">
        <f t="shared" ref="X27:X32" si="5">B27</f>
        <v>Fantassins</v>
      </c>
      <c r="Y27" s="1" t="s">
        <v>11</v>
      </c>
      <c r="Z27" s="15">
        <f>2*W27</f>
        <v>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36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0</v>
      </c>
      <c r="V28" s="17" t="s">
        <v>1</v>
      </c>
      <c r="W28" s="15">
        <f t="shared" si="4"/>
        <v>0</v>
      </c>
      <c r="X28" s="16" t="str">
        <f t="shared" si="5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4*A29</f>
        <v>0</v>
      </c>
      <c r="E29" s="1" t="s">
        <v>13</v>
      </c>
      <c r="F29" s="15">
        <f>2*A29</f>
        <v>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0</v>
      </c>
      <c r="V29" s="17" t="s">
        <v>1</v>
      </c>
      <c r="W29" s="15">
        <f t="shared" si="4"/>
        <v>0</v>
      </c>
      <c r="X29" s="16" t="str">
        <f t="shared" si="5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35</v>
      </c>
      <c r="K30" s="1"/>
      <c r="L30" s="1"/>
      <c r="M30" s="1"/>
      <c r="N30" s="1"/>
      <c r="O30" s="1"/>
      <c r="P30" s="1"/>
      <c r="Q30" s="1"/>
      <c r="R30" s="31" t="s">
        <v>34</v>
      </c>
      <c r="S30" s="29">
        <v>8</v>
      </c>
      <c r="T30" s="2"/>
      <c r="U30" s="15">
        <f t="shared" si="3"/>
        <v>0</v>
      </c>
      <c r="V30" s="17" t="s">
        <v>1</v>
      </c>
      <c r="W30" s="15">
        <f t="shared" si="4"/>
        <v>0</v>
      </c>
      <c r="X30" s="16" t="str">
        <f t="shared" si="5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33</v>
      </c>
      <c r="K31" s="1"/>
      <c r="L31" s="1"/>
      <c r="M31" s="1"/>
      <c r="N31" s="1"/>
      <c r="O31" s="1"/>
      <c r="P31" s="1"/>
      <c r="Q31" s="1"/>
      <c r="R31" s="1"/>
      <c r="S31" s="29">
        <v>1</v>
      </c>
      <c r="T31" s="2"/>
      <c r="U31" s="15">
        <f t="shared" si="3"/>
        <v>0</v>
      </c>
      <c r="V31" s="17" t="s">
        <v>1</v>
      </c>
      <c r="W31" s="15">
        <f t="shared" si="4"/>
        <v>0</v>
      </c>
      <c r="X31" s="16" t="str">
        <f t="shared" si="5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12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0</v>
      </c>
      <c r="V32" s="17" t="s">
        <v>1</v>
      </c>
      <c r="W32" s="15">
        <f t="shared" si="4"/>
        <v>0</v>
      </c>
      <c r="X32" s="16" t="str">
        <f t="shared" si="5"/>
        <v>Troupes d'Élite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0</v>
      </c>
      <c r="E33" s="8" t="s">
        <v>5</v>
      </c>
      <c r="F33" s="10">
        <f>D27+D28+F29+F30+F31+D32</f>
        <v>0</v>
      </c>
      <c r="G33" s="8" t="s">
        <v>4</v>
      </c>
      <c r="H33" s="1"/>
      <c r="I33" s="2"/>
      <c r="J33" s="30" t="s">
        <v>32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0</v>
      </c>
      <c r="Y33" s="11" t="s">
        <v>1</v>
      </c>
      <c r="Z33" s="10">
        <f>Z27+Z28+Z29+Z30+Z31+Z32</f>
        <v>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0</v>
      </c>
      <c r="Y34" s="11" t="s">
        <v>1</v>
      </c>
      <c r="Z34" s="10">
        <f>Z27+Z28+AB29+AB30+AB31+Z32</f>
        <v>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0</v>
      </c>
      <c r="E35" s="8" t="s">
        <v>6</v>
      </c>
      <c r="F35" s="1"/>
      <c r="G35" s="1"/>
      <c r="H35" s="1"/>
      <c r="I35" s="2"/>
      <c r="J35" s="1" t="s">
        <v>30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1 D6</v>
      </c>
      <c r="L35" s="1" t="s">
        <v>31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30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8 D6</v>
      </c>
      <c r="L36" s="1" t="s">
        <v>29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28</v>
      </c>
      <c r="K38" s="1"/>
      <c r="L38" s="1"/>
      <c r="M38" s="1"/>
      <c r="N38" s="1"/>
      <c r="O38" s="1"/>
      <c r="P38" s="1"/>
      <c r="Q38" s="1"/>
      <c r="R38" s="1"/>
      <c r="S38" s="29">
        <v>5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27</v>
      </c>
      <c r="K39" s="1"/>
      <c r="L39" s="1"/>
      <c r="M39" s="1"/>
      <c r="N39" s="1"/>
      <c r="O39" s="1"/>
      <c r="P39" s="1"/>
      <c r="Q39" s="1"/>
      <c r="R39" s="1"/>
      <c r="S39" s="29">
        <v>22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26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9</v>
      </c>
      <c r="O41" s="1" t="s">
        <v>6</v>
      </c>
      <c r="P41" s="1"/>
      <c r="Q41" s="1"/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25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43</v>
      </c>
      <c r="O42" s="1" t="s">
        <v>6</v>
      </c>
      <c r="P42" s="1"/>
      <c r="Q42" s="1"/>
      <c r="R42" s="1"/>
      <c r="S42" s="1"/>
      <c r="T42" s="2"/>
      <c r="U42" s="15">
        <f t="shared" si="6"/>
        <v>0</v>
      </c>
      <c r="V42" s="17" t="s">
        <v>1</v>
      </c>
      <c r="W42" s="15">
        <f t="shared" si="7"/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 t="shared" si="7"/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 t="shared" si="7"/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18940</v>
      </c>
      <c r="E50" s="3" t="s">
        <v>5</v>
      </c>
      <c r="F50" s="4">
        <f>F20+F33+F46</f>
        <v>18540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18940</v>
      </c>
      <c r="Y50" s="5" t="s">
        <v>1</v>
      </c>
      <c r="Z50" s="4">
        <f>Z20+Z33+Z46</f>
        <v>10420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18540</v>
      </c>
      <c r="Y51" s="5" t="s">
        <v>1</v>
      </c>
      <c r="Z51" s="4">
        <f>Z21+Z34+Z47</f>
        <v>10200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24</v>
      </c>
      <c r="B54" s="18" t="s">
        <v>104</v>
      </c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23</v>
      </c>
      <c r="V54" s="7"/>
      <c r="W54" s="1"/>
      <c r="X54" s="18">
        <v>18</v>
      </c>
      <c r="Y54" s="1" t="s">
        <v>22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121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Force Dunmer Étrangère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>
        <f t="shared" si="9"/>
        <v>0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2550</v>
      </c>
      <c r="B58" s="18" t="s">
        <v>18</v>
      </c>
      <c r="C58" s="1" t="s">
        <v>11</v>
      </c>
      <c r="D58" s="15">
        <f>2*A58</f>
        <v>5100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9"/>
        <v>2550</v>
      </c>
      <c r="V58" s="17" t="s">
        <v>1</v>
      </c>
      <c r="W58" s="15">
        <f t="shared" ref="W58:W63" si="10">ROUND(U58*(1-X$54/100),0)</f>
        <v>2091</v>
      </c>
      <c r="X58" s="16" t="str">
        <f t="shared" ref="X58:X63" si="11">B58</f>
        <v>Fantassins</v>
      </c>
      <c r="Y58" s="1" t="s">
        <v>11</v>
      </c>
      <c r="Z58" s="15">
        <f>2*W58</f>
        <v>4182</v>
      </c>
      <c r="AA58" s="1" t="s">
        <v>10</v>
      </c>
      <c r="AB58" s="1"/>
      <c r="AC58" s="1"/>
      <c r="AD58" s="1"/>
    </row>
    <row r="59" spans="1:30" x14ac:dyDescent="0.25">
      <c r="A59" s="19">
        <v>2550</v>
      </c>
      <c r="B59" s="18" t="s">
        <v>17</v>
      </c>
      <c r="C59" s="1" t="s">
        <v>11</v>
      </c>
      <c r="D59" s="15">
        <f>3*A59</f>
        <v>7650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2550</v>
      </c>
      <c r="V59" s="17" t="s">
        <v>1</v>
      </c>
      <c r="W59" s="15">
        <f t="shared" si="10"/>
        <v>2091</v>
      </c>
      <c r="X59" s="16" t="str">
        <f t="shared" si="11"/>
        <v>Archers</v>
      </c>
      <c r="Y59" s="1" t="s">
        <v>11</v>
      </c>
      <c r="Z59" s="15">
        <f>3*W59</f>
        <v>6273</v>
      </c>
      <c r="AA59" s="1" t="s">
        <v>10</v>
      </c>
      <c r="AB59" s="1"/>
      <c r="AC59" s="1"/>
      <c r="AD59" s="1"/>
    </row>
    <row r="60" spans="1:30" x14ac:dyDescent="0.25">
      <c r="A60" s="19">
        <v>0</v>
      </c>
      <c r="B60" s="18" t="s">
        <v>16</v>
      </c>
      <c r="C60" s="1" t="s">
        <v>11</v>
      </c>
      <c r="D60" s="15">
        <f>4*A60</f>
        <v>0</v>
      </c>
      <c r="E60" s="1" t="s">
        <v>13</v>
      </c>
      <c r="F60" s="15">
        <f>2*A60</f>
        <v>0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9"/>
        <v>0</v>
      </c>
      <c r="V60" s="17" t="s">
        <v>1</v>
      </c>
      <c r="W60" s="15">
        <f t="shared" si="10"/>
        <v>0</v>
      </c>
      <c r="X60" s="16" t="str">
        <f t="shared" si="11"/>
        <v>Cavaliers</v>
      </c>
      <c r="Y60" s="1" t="s">
        <v>11</v>
      </c>
      <c r="Z60" s="15">
        <f>4*W60</f>
        <v>0</v>
      </c>
      <c r="AA60" s="1" t="s">
        <v>13</v>
      </c>
      <c r="AB60" s="15">
        <f>2*W60</f>
        <v>0</v>
      </c>
      <c r="AC60" s="1" t="s">
        <v>4</v>
      </c>
      <c r="AD60" s="1"/>
    </row>
    <row r="61" spans="1:30" x14ac:dyDescent="0.25">
      <c r="A61" s="19">
        <v>0</v>
      </c>
      <c r="B61" s="18" t="s">
        <v>15</v>
      </c>
      <c r="C61" s="1" t="s">
        <v>11</v>
      </c>
      <c r="D61" s="15">
        <f>1*A61</f>
        <v>0</v>
      </c>
      <c r="E61" s="1" t="s">
        <v>13</v>
      </c>
      <c r="F61" s="15">
        <f>3*A61</f>
        <v>0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0</v>
      </c>
      <c r="V61" s="17" t="s">
        <v>1</v>
      </c>
      <c r="W61" s="15">
        <f t="shared" si="10"/>
        <v>0</v>
      </c>
      <c r="X61" s="16" t="str">
        <f t="shared" si="11"/>
        <v>Mineurs</v>
      </c>
      <c r="Y61" s="1" t="s">
        <v>11</v>
      </c>
      <c r="Z61" s="15">
        <f>1*W61</f>
        <v>0</v>
      </c>
      <c r="AA61" s="1" t="s">
        <v>13</v>
      </c>
      <c r="AB61" s="15">
        <f>3*W61</f>
        <v>0</v>
      </c>
      <c r="AC61" s="1" t="s">
        <v>4</v>
      </c>
      <c r="AD61" s="1"/>
    </row>
    <row r="62" spans="1:30" x14ac:dyDescent="0.25">
      <c r="A62" s="19">
        <v>0</v>
      </c>
      <c r="B62" s="18" t="s">
        <v>14</v>
      </c>
      <c r="C62" s="1" t="s">
        <v>11</v>
      </c>
      <c r="D62" s="15">
        <f>15*A62</f>
        <v>0</v>
      </c>
      <c r="E62" s="1" t="s">
        <v>13</v>
      </c>
      <c r="F62" s="15">
        <f>50*A62</f>
        <v>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0</v>
      </c>
      <c r="V62" s="17" t="s">
        <v>1</v>
      </c>
      <c r="W62" s="15">
        <f t="shared" si="10"/>
        <v>0</v>
      </c>
      <c r="X62" s="16" t="str">
        <f t="shared" si="11"/>
        <v>Engins de Siège</v>
      </c>
      <c r="Y62" s="1" t="s">
        <v>11</v>
      </c>
      <c r="Z62" s="15">
        <f>15*W62</f>
        <v>0</v>
      </c>
      <c r="AA62" s="1" t="s">
        <v>13</v>
      </c>
      <c r="AB62" s="15">
        <f>50*W62</f>
        <v>0</v>
      </c>
      <c r="AC62" s="1" t="s">
        <v>4</v>
      </c>
      <c r="AD62" s="1"/>
    </row>
    <row r="63" spans="1:30" x14ac:dyDescent="0.25">
      <c r="A63" s="19">
        <v>1000</v>
      </c>
      <c r="B63" s="18" t="s">
        <v>94</v>
      </c>
      <c r="C63" s="1" t="s">
        <v>11</v>
      </c>
      <c r="D63" s="15">
        <f>10*A63</f>
        <v>10000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1000</v>
      </c>
      <c r="V63" s="17" t="s">
        <v>1</v>
      </c>
      <c r="W63" s="15">
        <f t="shared" si="10"/>
        <v>820</v>
      </c>
      <c r="X63" s="16" t="str">
        <f t="shared" si="11"/>
        <v>Mages</v>
      </c>
      <c r="Y63" s="1" t="s">
        <v>11</v>
      </c>
      <c r="Z63" s="15">
        <f>10*W63</f>
        <v>8200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22750</v>
      </c>
      <c r="E64" s="8" t="s">
        <v>5</v>
      </c>
      <c r="F64" s="10">
        <f>D58+D59+F60+F61+F62+D63</f>
        <v>22750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22750</v>
      </c>
      <c r="Y64" s="11" t="s">
        <v>1</v>
      </c>
      <c r="Z64" s="10">
        <f>Z58+Z59+Z60+Z61+Z62+Z63</f>
        <v>18655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22750</v>
      </c>
      <c r="Y65" s="11" t="s">
        <v>1</v>
      </c>
      <c r="Z65" s="10">
        <f>Z58+Z59+AB60+AB61+AB62+Z63</f>
        <v>18655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100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100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119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2">A69</f>
        <v>Les Vrais Mers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>
        <f t="shared" si="12"/>
        <v>0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/>
      <c r="B71" s="18" t="s">
        <v>18</v>
      </c>
      <c r="C71" s="1" t="s">
        <v>11</v>
      </c>
      <c r="D71" s="15">
        <f>2*A71</f>
        <v>0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2"/>
        <v>0</v>
      </c>
      <c r="V71" s="17" t="s">
        <v>1</v>
      </c>
      <c r="W71" s="15">
        <f t="shared" ref="W71:W76" si="13">ROUND(U71*(1-X$54/100),0)</f>
        <v>0</v>
      </c>
      <c r="X71" s="16" t="str">
        <f t="shared" ref="X71:X76" si="14">B71</f>
        <v>Fantassins</v>
      </c>
      <c r="Y71" s="1" t="s">
        <v>11</v>
      </c>
      <c r="Z71" s="15">
        <f>2*W71</f>
        <v>0</v>
      </c>
      <c r="AA71" s="1" t="s">
        <v>10</v>
      </c>
      <c r="AB71" s="1"/>
      <c r="AC71" s="1"/>
      <c r="AD71" s="1"/>
    </row>
    <row r="72" spans="1:30" x14ac:dyDescent="0.25">
      <c r="A72" s="19"/>
      <c r="B72" s="18" t="s">
        <v>17</v>
      </c>
      <c r="C72" s="1" t="s">
        <v>11</v>
      </c>
      <c r="D72" s="15">
        <f>3*A72</f>
        <v>0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2"/>
        <v>0</v>
      </c>
      <c r="V72" s="17" t="s">
        <v>1</v>
      </c>
      <c r="W72" s="15">
        <f t="shared" si="13"/>
        <v>0</v>
      </c>
      <c r="X72" s="16" t="str">
        <f t="shared" si="14"/>
        <v>Archers</v>
      </c>
      <c r="Y72" s="1" t="s">
        <v>11</v>
      </c>
      <c r="Z72" s="15">
        <f>3*W72</f>
        <v>0</v>
      </c>
      <c r="AA72" s="1" t="s">
        <v>10</v>
      </c>
      <c r="AB72" s="1"/>
      <c r="AC72" s="1"/>
      <c r="AD72" s="1"/>
    </row>
    <row r="73" spans="1:30" x14ac:dyDescent="0.25">
      <c r="A73" s="19"/>
      <c r="B73" s="18" t="s">
        <v>16</v>
      </c>
      <c r="C73" s="1" t="s">
        <v>11</v>
      </c>
      <c r="D73" s="15">
        <f>4*A73</f>
        <v>0</v>
      </c>
      <c r="E73" s="1" t="s">
        <v>13</v>
      </c>
      <c r="F73" s="15">
        <f>2*A73</f>
        <v>0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2"/>
        <v>0</v>
      </c>
      <c r="V73" s="17" t="s">
        <v>1</v>
      </c>
      <c r="W73" s="15">
        <f t="shared" si="13"/>
        <v>0</v>
      </c>
      <c r="X73" s="16" t="str">
        <f t="shared" si="14"/>
        <v>Cavaliers</v>
      </c>
      <c r="Y73" s="1" t="s">
        <v>11</v>
      </c>
      <c r="Z73" s="15">
        <f>4*W73</f>
        <v>0</v>
      </c>
      <c r="AA73" s="1" t="s">
        <v>13</v>
      </c>
      <c r="AB73" s="15">
        <f>2*W73</f>
        <v>0</v>
      </c>
      <c r="AC73" s="1" t="s">
        <v>4</v>
      </c>
      <c r="AD73" s="1"/>
    </row>
    <row r="74" spans="1:30" x14ac:dyDescent="0.25">
      <c r="A74" s="19"/>
      <c r="B74" s="18" t="s">
        <v>15</v>
      </c>
      <c r="C74" s="1" t="s">
        <v>11</v>
      </c>
      <c r="D74" s="15">
        <f>1*A74</f>
        <v>0</v>
      </c>
      <c r="E74" s="1" t="s">
        <v>13</v>
      </c>
      <c r="F74" s="15">
        <f>3*A74</f>
        <v>0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2"/>
        <v>0</v>
      </c>
      <c r="V74" s="17" t="s">
        <v>1</v>
      </c>
      <c r="W74" s="15">
        <f t="shared" si="13"/>
        <v>0</v>
      </c>
      <c r="X74" s="16" t="str">
        <f t="shared" si="14"/>
        <v>Mineurs</v>
      </c>
      <c r="Y74" s="1" t="s">
        <v>11</v>
      </c>
      <c r="Z74" s="15">
        <f>1*W74</f>
        <v>0</v>
      </c>
      <c r="AA74" s="1" t="s">
        <v>13</v>
      </c>
      <c r="AB74" s="15">
        <f>3*W74</f>
        <v>0</v>
      </c>
      <c r="AC74" s="1" t="s">
        <v>4</v>
      </c>
      <c r="AD74" s="1"/>
    </row>
    <row r="75" spans="1:30" x14ac:dyDescent="0.25">
      <c r="A75" s="19"/>
      <c r="B75" s="18" t="s">
        <v>14</v>
      </c>
      <c r="C75" s="1" t="s">
        <v>11</v>
      </c>
      <c r="D75" s="15">
        <f>15*A75</f>
        <v>0</v>
      </c>
      <c r="E75" s="1" t="s">
        <v>13</v>
      </c>
      <c r="F75" s="15">
        <f>50*A75</f>
        <v>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2"/>
        <v>0</v>
      </c>
      <c r="V75" s="17" t="s">
        <v>1</v>
      </c>
      <c r="W75" s="15">
        <f t="shared" si="13"/>
        <v>0</v>
      </c>
      <c r="X75" s="16" t="str">
        <f t="shared" si="14"/>
        <v>Engins de Siège</v>
      </c>
      <c r="Y75" s="1" t="s">
        <v>11</v>
      </c>
      <c r="Z75" s="15">
        <f>15*W75</f>
        <v>0</v>
      </c>
      <c r="AA75" s="1" t="s">
        <v>13</v>
      </c>
      <c r="AB75" s="15">
        <f>50*W75</f>
        <v>0</v>
      </c>
      <c r="AC75" s="1" t="s">
        <v>4</v>
      </c>
      <c r="AD75" s="1"/>
    </row>
    <row r="76" spans="1:30" x14ac:dyDescent="0.25">
      <c r="A76" s="19"/>
      <c r="B76" s="18" t="s">
        <v>94</v>
      </c>
      <c r="C76" s="1" t="s">
        <v>11</v>
      </c>
      <c r="D76" s="15">
        <f>10*A76</f>
        <v>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2"/>
        <v>0</v>
      </c>
      <c r="V76" s="17" t="s">
        <v>1</v>
      </c>
      <c r="W76" s="15">
        <f t="shared" si="13"/>
        <v>0</v>
      </c>
      <c r="X76" s="16" t="str">
        <f t="shared" si="14"/>
        <v>Mages</v>
      </c>
      <c r="Y76" s="1" t="s">
        <v>11</v>
      </c>
      <c r="Z76" s="15">
        <f>10*W76</f>
        <v>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0</v>
      </c>
      <c r="E77" s="8" t="s">
        <v>5</v>
      </c>
      <c r="F77" s="10">
        <f>D71+D72+F73+F74+F75+D76</f>
        <v>0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0</v>
      </c>
      <c r="Y77" s="11" t="s">
        <v>1</v>
      </c>
      <c r="Z77" s="10">
        <f>Z71+Z72+Z73+Z74+Z75+Z76</f>
        <v>0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0</v>
      </c>
      <c r="Y78" s="11" t="s">
        <v>1</v>
      </c>
      <c r="Z78" s="10">
        <f>Z71+Z72+AB73+AB74+AB75+Z76</f>
        <v>0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0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0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5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5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5"/>
        <v>0</v>
      </c>
      <c r="V84" s="17" t="s">
        <v>1</v>
      </c>
      <c r="W84" s="15">
        <f t="shared" ref="W84:W89" si="16">ROUND(U84*(1-X$54/100),0)</f>
        <v>0</v>
      </c>
      <c r="X84" s="16" t="str">
        <f t="shared" ref="X84:X89" si="17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5"/>
        <v>0</v>
      </c>
      <c r="V85" s="17" t="s">
        <v>1</v>
      </c>
      <c r="W85" s="15">
        <f t="shared" si="16"/>
        <v>0</v>
      </c>
      <c r="X85" s="16" t="str">
        <f t="shared" si="17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5"/>
        <v>0</v>
      </c>
      <c r="V86" s="17" t="s">
        <v>1</v>
      </c>
      <c r="W86" s="15">
        <f t="shared" si="16"/>
        <v>0</v>
      </c>
      <c r="X86" s="16" t="str">
        <f t="shared" si="17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5"/>
        <v>0</v>
      </c>
      <c r="V87" s="17" t="s">
        <v>1</v>
      </c>
      <c r="W87" s="15">
        <f t="shared" si="16"/>
        <v>0</v>
      </c>
      <c r="X87" s="16" t="str">
        <f t="shared" si="17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5"/>
        <v>0</v>
      </c>
      <c r="V88" s="17" t="s">
        <v>1</v>
      </c>
      <c r="W88" s="15">
        <f t="shared" si="16"/>
        <v>0</v>
      </c>
      <c r="X88" s="16" t="str">
        <f t="shared" si="17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5"/>
        <v>0</v>
      </c>
      <c r="V89" s="17" t="s">
        <v>1</v>
      </c>
      <c r="W89" s="15">
        <f t="shared" si="16"/>
        <v>0</v>
      </c>
      <c r="X89" s="16" t="str">
        <f t="shared" si="17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22750</v>
      </c>
      <c r="E94" s="3" t="s">
        <v>5</v>
      </c>
      <c r="F94" s="4">
        <f>F64+F77+F90</f>
        <v>22750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22750</v>
      </c>
      <c r="Y94" s="5" t="s">
        <v>1</v>
      </c>
      <c r="Z94" s="4">
        <f>Z64+Z77+Z90</f>
        <v>18655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22750</v>
      </c>
      <c r="Y95" s="5" t="s">
        <v>1</v>
      </c>
      <c r="Z95" s="4">
        <f>Z65+Z78+Z91</f>
        <v>18655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105" priority="31" operator="greaterThanOrEqual">
      <formula>25</formula>
    </cfRule>
    <cfRule type="cellIs" dxfId="104" priority="32" operator="lessThan">
      <formula>25</formula>
    </cfRule>
  </conditionalFormatting>
  <conditionalFormatting sqref="D35">
    <cfRule type="cellIs" dxfId="103" priority="29" operator="greaterThanOrEqual">
      <formula>25</formula>
    </cfRule>
    <cfRule type="cellIs" dxfId="102" priority="30" operator="lessThan">
      <formula>25</formula>
    </cfRule>
  </conditionalFormatting>
  <conditionalFormatting sqref="D48">
    <cfRule type="cellIs" dxfId="101" priority="27" operator="greaterThanOrEqual">
      <formula>25</formula>
    </cfRule>
    <cfRule type="cellIs" dxfId="100" priority="28" operator="lessThan">
      <formula>25</formula>
    </cfRule>
  </conditionalFormatting>
  <conditionalFormatting sqref="D66:D68">
    <cfRule type="cellIs" dxfId="99" priority="23" operator="greaterThanOrEqual">
      <formula>25</formula>
    </cfRule>
    <cfRule type="cellIs" dxfId="98" priority="24" operator="lessThan">
      <formula>25</formula>
    </cfRule>
  </conditionalFormatting>
  <conditionalFormatting sqref="D79">
    <cfRule type="cellIs" dxfId="97" priority="21" operator="greaterThanOrEqual">
      <formula>25</formula>
    </cfRule>
    <cfRule type="cellIs" dxfId="96" priority="22" operator="lessThan">
      <formula>25</formula>
    </cfRule>
  </conditionalFormatting>
  <conditionalFormatting sqref="D92">
    <cfRule type="cellIs" dxfId="95" priority="19" operator="greaterThanOrEqual">
      <formula>25</formula>
    </cfRule>
    <cfRule type="cellIs" dxfId="94" priority="20" operator="lessThan">
      <formula>25</formula>
    </cfRule>
  </conditionalFormatting>
  <conditionalFormatting sqref="D36:D37">
    <cfRule type="cellIs" dxfId="93" priority="25" operator="greaterThanOrEqual">
      <formula>25</formula>
    </cfRule>
    <cfRule type="cellIs" dxfId="92" priority="26" operator="lessThan">
      <formula>25</formula>
    </cfRule>
  </conditionalFormatting>
  <conditionalFormatting sqref="D80:D81">
    <cfRule type="cellIs" dxfId="91" priority="17" operator="greaterThanOrEqual">
      <formula>25</formula>
    </cfRule>
    <cfRule type="cellIs" dxfId="90" priority="18" operator="lessThan">
      <formula>25</formula>
    </cfRule>
  </conditionalFormatting>
  <conditionalFormatting sqref="Z22:Z24">
    <cfRule type="cellIs" dxfId="89" priority="15" operator="greaterThanOrEqual">
      <formula>25</formula>
    </cfRule>
    <cfRule type="cellIs" dxfId="88" priority="16" operator="lessThan">
      <formula>25</formula>
    </cfRule>
  </conditionalFormatting>
  <conditionalFormatting sqref="Z35">
    <cfRule type="cellIs" dxfId="87" priority="13" operator="greaterThanOrEqual">
      <formula>25</formula>
    </cfRule>
    <cfRule type="cellIs" dxfId="86" priority="14" operator="lessThan">
      <formula>25</formula>
    </cfRule>
  </conditionalFormatting>
  <conditionalFormatting sqref="Z48">
    <cfRule type="cellIs" dxfId="85" priority="11" operator="greaterThanOrEqual">
      <formula>25</formula>
    </cfRule>
    <cfRule type="cellIs" dxfId="84" priority="12" operator="lessThan">
      <formula>25</formula>
    </cfRule>
  </conditionalFormatting>
  <conditionalFormatting sqref="Z36:Z37">
    <cfRule type="cellIs" dxfId="83" priority="9" operator="greaterThanOrEqual">
      <formula>25</formula>
    </cfRule>
    <cfRule type="cellIs" dxfId="82" priority="10" operator="lessThan">
      <formula>25</formula>
    </cfRule>
  </conditionalFormatting>
  <conditionalFormatting sqref="Z66:Z68">
    <cfRule type="cellIs" dxfId="81" priority="7" operator="greaterThanOrEqual">
      <formula>25</formula>
    </cfRule>
    <cfRule type="cellIs" dxfId="80" priority="8" operator="lessThan">
      <formula>25</formula>
    </cfRule>
  </conditionalFormatting>
  <conditionalFormatting sqref="Z79">
    <cfRule type="cellIs" dxfId="79" priority="5" operator="greaterThanOrEqual">
      <formula>25</formula>
    </cfRule>
    <cfRule type="cellIs" dxfId="78" priority="6" operator="lessThan">
      <formula>25</formula>
    </cfRule>
  </conditionalFormatting>
  <conditionalFormatting sqref="Z92">
    <cfRule type="cellIs" dxfId="77" priority="3" operator="greaterThanOrEqual">
      <formula>25</formula>
    </cfRule>
    <cfRule type="cellIs" dxfId="76" priority="4" operator="lessThan">
      <formula>25</formula>
    </cfRule>
  </conditionalFormatting>
  <conditionalFormatting sqref="Z80:Z81">
    <cfRule type="cellIs" dxfId="75" priority="1" operator="greaterThanOrEqual">
      <formula>25</formula>
    </cfRule>
    <cfRule type="cellIs" dxfId="74" priority="2" operator="lessThan">
      <formula>25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opLeftCell="A34" workbookViewId="0">
      <selection activeCell="A59" sqref="A59:H64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11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0.425781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65</v>
      </c>
      <c r="B1" s="8"/>
      <c r="C1" s="8"/>
      <c r="D1" s="8"/>
      <c r="E1" s="8"/>
      <c r="F1" s="8"/>
      <c r="G1" s="8"/>
      <c r="H1" s="8"/>
      <c r="I1" s="36"/>
      <c r="J1" s="8" t="s">
        <v>64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63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62</v>
      </c>
      <c r="B2" s="35"/>
      <c r="C2" s="35"/>
      <c r="D2" s="35"/>
      <c r="E2" s="35"/>
      <c r="F2" s="35"/>
      <c r="G2" s="1"/>
      <c r="H2" s="1"/>
      <c r="I2" s="2"/>
      <c r="J2" s="1" t="s">
        <v>61</v>
      </c>
      <c r="K2" s="18" t="s">
        <v>97</v>
      </c>
      <c r="L2" s="1" t="s">
        <v>59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58</v>
      </c>
      <c r="B3" s="34"/>
      <c r="C3" s="34"/>
      <c r="D3" s="34"/>
      <c r="E3" s="34"/>
      <c r="F3" s="34"/>
      <c r="G3" s="34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57</v>
      </c>
      <c r="B4" s="34"/>
      <c r="C4" s="34"/>
      <c r="D4" s="34"/>
      <c r="E4" s="34"/>
      <c r="F4" s="34"/>
      <c r="G4" s="34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56</v>
      </c>
      <c r="B6" s="1"/>
      <c r="C6" s="1"/>
      <c r="D6" s="1"/>
      <c r="E6" s="1"/>
      <c r="F6" s="1"/>
      <c r="G6" s="1"/>
      <c r="H6" s="1"/>
      <c r="I6" s="2"/>
      <c r="J6" s="1" t="s">
        <v>55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 t="s">
        <v>54</v>
      </c>
      <c r="B7" s="1"/>
      <c r="C7" s="1"/>
      <c r="D7" s="1"/>
      <c r="E7" s="1"/>
      <c r="F7" s="1"/>
      <c r="G7" s="1"/>
      <c r="H7" s="1"/>
      <c r="I7" s="2"/>
      <c r="J7" s="1" t="s">
        <v>53</v>
      </c>
      <c r="L7" s="1"/>
      <c r="M7" s="1"/>
      <c r="N7" s="1"/>
      <c r="O7" s="1"/>
      <c r="P7" s="1"/>
      <c r="Q7" s="1"/>
      <c r="R7" s="16"/>
      <c r="S7" s="1" t="s">
        <v>52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24</v>
      </c>
      <c r="B10" s="18" t="s">
        <v>96</v>
      </c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1" t="s">
        <v>51</v>
      </c>
      <c r="V10" s="1"/>
      <c r="W10" s="1"/>
      <c r="X10" s="18">
        <v>86</v>
      </c>
      <c r="Y10" s="1" t="s">
        <v>22</v>
      </c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21" t="s">
        <v>178</v>
      </c>
      <c r="B12" s="20"/>
      <c r="C12" s="1"/>
      <c r="D12" s="1"/>
      <c r="E12" s="1"/>
      <c r="F12" s="1"/>
      <c r="G12" s="1"/>
      <c r="H12" s="1"/>
      <c r="I12" s="2"/>
      <c r="J12" s="16" t="s">
        <v>50</v>
      </c>
      <c r="K12" s="16"/>
      <c r="L12" s="15">
        <f>IF(OR(K2="Mer",K2="Siège"),IF(F50&gt;F94,F50,F94),IF(K2="Plaine",IF(D50&gt;D94,D50,D94),"Erreur !"))</f>
        <v>59187</v>
      </c>
      <c r="M12" s="16" t="s">
        <v>49</v>
      </c>
      <c r="N12" s="33">
        <f>IF(OR(K2="Mer",K2="Siège"),IF(F50&lt;=F94,F50,F94),IF(K2="Plaine",IF(D50&lt;=D94,D50,D94),"Erreur !"))</f>
        <v>8789</v>
      </c>
      <c r="O12" s="16" t="s">
        <v>48</v>
      </c>
      <c r="P12" s="32">
        <f>L12/N12</f>
        <v>6.7342132210717942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+11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Liandryl</v>
      </c>
      <c r="T12" s="2"/>
      <c r="U12" s="15" t="str">
        <f t="shared" ref="U12:U19" si="0">A12</f>
        <v>Le Fléau des Cendres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 t="s">
        <v>19</v>
      </c>
      <c r="B13" s="1"/>
      <c r="C13" s="1"/>
      <c r="D13" s="1"/>
      <c r="E13" s="1"/>
      <c r="F13" s="1"/>
      <c r="G13" s="1"/>
      <c r="H13" s="1"/>
      <c r="I13" s="2"/>
      <c r="J13" s="1" t="s">
        <v>47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 t="str">
        <f t="shared" si="0"/>
        <v>(Notifier la présence éventuelle du Roi ou du Vassal ici)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>
        <v>71</v>
      </c>
      <c r="B14" s="18" t="s">
        <v>186</v>
      </c>
      <c r="C14" s="1" t="s">
        <v>11</v>
      </c>
      <c r="D14" s="15">
        <f>2*A14</f>
        <v>142</v>
      </c>
      <c r="E14" s="1" t="s">
        <v>10</v>
      </c>
      <c r="F14" s="1"/>
      <c r="G14" s="1"/>
      <c r="H14" s="1"/>
      <c r="I14" s="2"/>
      <c r="J14" s="7" t="s">
        <v>46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71</v>
      </c>
      <c r="V14" s="17" t="s">
        <v>1</v>
      </c>
      <c r="W14" s="15">
        <f t="shared" ref="W14:W19" si="1">ROUND(U14*(1-X$10/100),0)</f>
        <v>10</v>
      </c>
      <c r="X14" s="16" t="str">
        <f t="shared" ref="X14:X19" si="2">B14</f>
        <v>Guerriers Squelettes</v>
      </c>
      <c r="Y14" s="1" t="s">
        <v>11</v>
      </c>
      <c r="Z14" s="15">
        <f>2*W14</f>
        <v>20</v>
      </c>
      <c r="AA14" s="1" t="s">
        <v>10</v>
      </c>
      <c r="AB14" s="1"/>
      <c r="AC14" s="1"/>
      <c r="AD14" s="1"/>
    </row>
    <row r="15" spans="1:30" x14ac:dyDescent="0.25">
      <c r="A15" s="19">
        <v>155</v>
      </c>
      <c r="B15" s="18" t="s">
        <v>189</v>
      </c>
      <c r="C15" s="1" t="s">
        <v>11</v>
      </c>
      <c r="D15" s="15">
        <f>3*A15</f>
        <v>465</v>
      </c>
      <c r="E15" s="1" t="s">
        <v>10</v>
      </c>
      <c r="F15" s="1"/>
      <c r="G15" s="1"/>
      <c r="H15" s="1"/>
      <c r="I15" s="2"/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155</v>
      </c>
      <c r="V15" s="17" t="s">
        <v>1</v>
      </c>
      <c r="W15" s="15">
        <f t="shared" si="1"/>
        <v>22</v>
      </c>
      <c r="X15" s="16" t="str">
        <f t="shared" si="2"/>
        <v>Archers de la Dévastation</v>
      </c>
      <c r="Y15" s="1" t="s">
        <v>11</v>
      </c>
      <c r="Z15" s="15">
        <f>3*W15</f>
        <v>66</v>
      </c>
      <c r="AA15" s="1" t="s">
        <v>10</v>
      </c>
      <c r="AB15" s="1"/>
      <c r="AC15" s="1"/>
      <c r="AD15" s="1"/>
    </row>
    <row r="16" spans="1:30" x14ac:dyDescent="0.25">
      <c r="A16" s="19">
        <v>132</v>
      </c>
      <c r="B16" s="18" t="s">
        <v>187</v>
      </c>
      <c r="C16" s="1" t="s">
        <v>11</v>
      </c>
      <c r="D16" s="15">
        <f>4*A16</f>
        <v>528</v>
      </c>
      <c r="E16" s="1" t="s">
        <v>13</v>
      </c>
      <c r="F16" s="15">
        <f>2*A16</f>
        <v>264</v>
      </c>
      <c r="G16" s="1" t="s">
        <v>4</v>
      </c>
      <c r="H16" s="1"/>
      <c r="I16" s="2"/>
      <c r="J16" s="7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132</v>
      </c>
      <c r="V16" s="17" t="s">
        <v>1</v>
      </c>
      <c r="W16" s="15">
        <f t="shared" si="1"/>
        <v>18</v>
      </c>
      <c r="X16" s="16" t="str">
        <f t="shared" si="2"/>
        <v>Chevaliers</v>
      </c>
      <c r="Y16" s="1" t="s">
        <v>11</v>
      </c>
      <c r="Z16" s="15">
        <f>4*W16</f>
        <v>72</v>
      </c>
      <c r="AA16" s="1" t="s">
        <v>13</v>
      </c>
      <c r="AB16" s="15">
        <f>2*W16</f>
        <v>36</v>
      </c>
      <c r="AC16" s="1" t="s">
        <v>4</v>
      </c>
      <c r="AD16" s="1"/>
    </row>
    <row r="17" spans="1:30" x14ac:dyDescent="0.25">
      <c r="A17" s="19">
        <v>986</v>
      </c>
      <c r="B17" s="18" t="s">
        <v>134</v>
      </c>
      <c r="C17" s="1" t="s">
        <v>11</v>
      </c>
      <c r="D17" s="15">
        <f>1*A17</f>
        <v>986</v>
      </c>
      <c r="E17" s="1" t="s">
        <v>13</v>
      </c>
      <c r="F17" s="15">
        <f>3*A17</f>
        <v>2958</v>
      </c>
      <c r="G17" s="1" t="s">
        <v>4</v>
      </c>
      <c r="H17" s="1"/>
      <c r="I17" s="2"/>
      <c r="J17" s="7" t="s">
        <v>43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986</v>
      </c>
      <c r="V17" s="17" t="s">
        <v>1</v>
      </c>
      <c r="W17" s="15">
        <f t="shared" si="1"/>
        <v>138</v>
      </c>
      <c r="X17" s="16" t="str">
        <f t="shared" si="2"/>
        <v xml:space="preserve">Marteleurs </v>
      </c>
      <c r="Y17" s="1" t="s">
        <v>11</v>
      </c>
      <c r="Z17" s="15">
        <f>1*W17</f>
        <v>138</v>
      </c>
      <c r="AA17" s="1" t="s">
        <v>13</v>
      </c>
      <c r="AB17" s="15">
        <f>3*W17</f>
        <v>414</v>
      </c>
      <c r="AC17" s="1" t="s">
        <v>4</v>
      </c>
      <c r="AD17" s="1"/>
    </row>
    <row r="18" spans="1:30" x14ac:dyDescent="0.25">
      <c r="A18" s="19">
        <v>44</v>
      </c>
      <c r="B18" s="18" t="s">
        <v>14</v>
      </c>
      <c r="C18" s="1" t="s">
        <v>11</v>
      </c>
      <c r="D18" s="15">
        <f>15*A18</f>
        <v>660</v>
      </c>
      <c r="E18" s="1" t="s">
        <v>13</v>
      </c>
      <c r="F18" s="15">
        <f>50*A18</f>
        <v>2200</v>
      </c>
      <c r="G18" s="1" t="s">
        <v>4</v>
      </c>
      <c r="H18" s="1"/>
      <c r="I18" s="2"/>
      <c r="J18" s="7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44</v>
      </c>
      <c r="V18" s="17" t="s">
        <v>1</v>
      </c>
      <c r="W18" s="15">
        <f t="shared" si="1"/>
        <v>6</v>
      </c>
      <c r="X18" s="16" t="str">
        <f t="shared" si="2"/>
        <v>Engins de Siège</v>
      </c>
      <c r="Y18" s="1" t="s">
        <v>11</v>
      </c>
      <c r="Z18" s="15">
        <f>15*W18</f>
        <v>90</v>
      </c>
      <c r="AA18" s="1" t="s">
        <v>13</v>
      </c>
      <c r="AB18" s="15">
        <f>50*W18</f>
        <v>300</v>
      </c>
      <c r="AC18" s="1" t="s">
        <v>4</v>
      </c>
      <c r="AD18" s="1"/>
    </row>
    <row r="19" spans="1:30" x14ac:dyDescent="0.25">
      <c r="A19" s="19">
        <v>276</v>
      </c>
      <c r="B19" s="18" t="s">
        <v>188</v>
      </c>
      <c r="C19" s="1" t="s">
        <v>11</v>
      </c>
      <c r="D19" s="15">
        <f>10*A19</f>
        <v>2760</v>
      </c>
      <c r="E19" s="1" t="s">
        <v>10</v>
      </c>
      <c r="F19" s="1"/>
      <c r="G19" s="1"/>
      <c r="H19" s="1"/>
      <c r="I19" s="2"/>
      <c r="J19" s="7" t="s">
        <v>41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276</v>
      </c>
      <c r="V19" s="17" t="s">
        <v>1</v>
      </c>
      <c r="W19" s="15">
        <f t="shared" si="1"/>
        <v>39</v>
      </c>
      <c r="X19" s="16" t="str">
        <f t="shared" si="2"/>
        <v>Nécromanciens Blancs</v>
      </c>
      <c r="Y19" s="1" t="s">
        <v>11</v>
      </c>
      <c r="Z19" s="15">
        <f>10*W19</f>
        <v>390</v>
      </c>
      <c r="AA19" s="1" t="s">
        <v>10</v>
      </c>
      <c r="AB19" s="1"/>
      <c r="AC19" s="1"/>
      <c r="AD19" s="1"/>
    </row>
    <row r="20" spans="1:30" x14ac:dyDescent="0.25">
      <c r="A20" s="8" t="s">
        <v>9</v>
      </c>
      <c r="B20" s="13"/>
      <c r="C20" s="8"/>
      <c r="D20" s="10">
        <f>D14+D15+D16+D17+D18+D19</f>
        <v>5541</v>
      </c>
      <c r="E20" s="8" t="s">
        <v>5</v>
      </c>
      <c r="F20" s="10">
        <f>D14+D15+F16+F17+F18+D19</f>
        <v>8789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5541</v>
      </c>
      <c r="Y20" s="11" t="s">
        <v>1</v>
      </c>
      <c r="Z20" s="10">
        <f>Z14+Z15+Z16+Z17+Z18+Z19</f>
        <v>776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D21" s="12"/>
      <c r="E21" s="8"/>
      <c r="F21" s="12"/>
      <c r="G21" s="8"/>
      <c r="H21" s="1"/>
      <c r="I21" s="2"/>
      <c r="J21" s="1" t="s">
        <v>40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8789</v>
      </c>
      <c r="Y21" s="11" t="s">
        <v>1</v>
      </c>
      <c r="Z21" s="10">
        <f>Z14+Z15+AB16+AB17+AB18+Z19</f>
        <v>1226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100*D20/D50</f>
        <v>100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100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25"/>
      <c r="E23" s="8"/>
      <c r="F23" s="1"/>
      <c r="G23" s="1"/>
      <c r="H23" s="1"/>
      <c r="I23" s="2"/>
      <c r="J23" s="1" t="s">
        <v>39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38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37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/>
      <c r="B27" s="18" t="s">
        <v>18</v>
      </c>
      <c r="C27" s="1" t="s">
        <v>11</v>
      </c>
      <c r="D27" s="15">
        <f>2*A27</f>
        <v>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0</v>
      </c>
      <c r="V27" s="17" t="s">
        <v>1</v>
      </c>
      <c r="W27" s="15">
        <f t="shared" ref="W27:W32" si="4">ROUND(U27*(1-X$10/100),0)</f>
        <v>0</v>
      </c>
      <c r="X27" s="16" t="str">
        <f t="shared" ref="X27:X32" si="5">B27</f>
        <v>Fantassins</v>
      </c>
      <c r="Y27" s="1" t="s">
        <v>11</v>
      </c>
      <c r="Z27" s="15">
        <f>2*W27</f>
        <v>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36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0</v>
      </c>
      <c r="V28" s="17" t="s">
        <v>1</v>
      </c>
      <c r="W28" s="15">
        <f t="shared" si="4"/>
        <v>0</v>
      </c>
      <c r="X28" s="16" t="str">
        <f t="shared" si="5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4*A29</f>
        <v>0</v>
      </c>
      <c r="E29" s="1" t="s">
        <v>13</v>
      </c>
      <c r="F29" s="15">
        <f>2*A29</f>
        <v>0</v>
      </c>
      <c r="G29" s="1" t="s">
        <v>4</v>
      </c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0</v>
      </c>
      <c r="V29" s="17" t="s">
        <v>1</v>
      </c>
      <c r="W29" s="15">
        <f t="shared" si="4"/>
        <v>0</v>
      </c>
      <c r="X29" s="16" t="str">
        <f t="shared" si="5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35</v>
      </c>
      <c r="K30" s="1"/>
      <c r="L30" s="1"/>
      <c r="M30" s="1"/>
      <c r="N30" s="1"/>
      <c r="O30" s="1"/>
      <c r="P30" s="1"/>
      <c r="Q30" s="1"/>
      <c r="R30" s="31" t="s">
        <v>34</v>
      </c>
      <c r="S30" s="29">
        <v>16</v>
      </c>
      <c r="T30" s="2"/>
      <c r="U30" s="15">
        <f t="shared" si="3"/>
        <v>0</v>
      </c>
      <c r="V30" s="17" t="s">
        <v>1</v>
      </c>
      <c r="W30" s="15">
        <f t="shared" si="4"/>
        <v>0</v>
      </c>
      <c r="X30" s="16" t="str">
        <f t="shared" si="5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33</v>
      </c>
      <c r="K31" s="1"/>
      <c r="L31" s="1"/>
      <c r="M31" s="1"/>
      <c r="N31" s="1"/>
      <c r="O31" s="1"/>
      <c r="P31" s="1"/>
      <c r="Q31" s="1"/>
      <c r="R31" s="1"/>
      <c r="S31" s="29">
        <v>2</v>
      </c>
      <c r="T31" s="2"/>
      <c r="U31" s="15">
        <f t="shared" si="3"/>
        <v>0</v>
      </c>
      <c r="V31" s="17" t="s">
        <v>1</v>
      </c>
      <c r="W31" s="15">
        <f t="shared" si="4"/>
        <v>0</v>
      </c>
      <c r="X31" s="16" t="str">
        <f t="shared" si="5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12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0</v>
      </c>
      <c r="V32" s="17" t="s">
        <v>1</v>
      </c>
      <c r="W32" s="15">
        <f t="shared" si="4"/>
        <v>0</v>
      </c>
      <c r="X32" s="16" t="str">
        <f t="shared" si="5"/>
        <v>Troupes d'Élite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9</v>
      </c>
      <c r="B33" s="13"/>
      <c r="C33" s="8"/>
      <c r="D33" s="10">
        <f>D27+D28+D29+D30+D31+D32</f>
        <v>0</v>
      </c>
      <c r="E33" s="8" t="s">
        <v>5</v>
      </c>
      <c r="F33" s="10">
        <f>D27+D28+F29+F30+F31+D32</f>
        <v>0</v>
      </c>
      <c r="G33" s="8" t="s">
        <v>4</v>
      </c>
      <c r="H33" s="1"/>
      <c r="I33" s="2"/>
      <c r="J33" s="30" t="s">
        <v>32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0</v>
      </c>
      <c r="Y33" s="11" t="s">
        <v>1</v>
      </c>
      <c r="Z33" s="10">
        <f>Z27+Z28+Z29+Z30+Z31+Z32</f>
        <v>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0</v>
      </c>
      <c r="Y34" s="11" t="s">
        <v>1</v>
      </c>
      <c r="Z34" s="10">
        <f>Z27+Z28+AB29+AB30+AB31+Z32</f>
        <v>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100*D33/D50</f>
        <v>0</v>
      </c>
      <c r="E35" s="8" t="s">
        <v>6</v>
      </c>
      <c r="F35" s="1"/>
      <c r="G35" s="1"/>
      <c r="H35" s="1"/>
      <c r="I35" s="2"/>
      <c r="J35" s="1" t="s">
        <v>30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10 D6</v>
      </c>
      <c r="L35" s="1" t="s">
        <v>31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25"/>
      <c r="E36" s="8"/>
      <c r="F36" s="1"/>
      <c r="G36" s="1"/>
      <c r="H36" s="1"/>
      <c r="I36" s="2"/>
      <c r="J36" s="1" t="s">
        <v>30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1 D3</v>
      </c>
      <c r="L36" s="1" t="s">
        <v>29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28</v>
      </c>
      <c r="K38" s="1"/>
      <c r="L38" s="1"/>
      <c r="M38" s="1"/>
      <c r="N38" s="1"/>
      <c r="O38" s="1"/>
      <c r="P38" s="1"/>
      <c r="Q38" s="1"/>
      <c r="R38" s="1"/>
      <c r="S38" s="29">
        <v>40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27</v>
      </c>
      <c r="K39" s="1"/>
      <c r="L39" s="1"/>
      <c r="M39" s="1"/>
      <c r="N39" s="1"/>
      <c r="O39" s="1"/>
      <c r="P39" s="1"/>
      <c r="Q39" s="1"/>
      <c r="R39" s="1"/>
      <c r="S39" s="29">
        <v>1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26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86</v>
      </c>
      <c r="O41" s="1" t="s">
        <v>6</v>
      </c>
      <c r="P41" s="1"/>
      <c r="Q41" s="1"/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4*A42</f>
        <v>0</v>
      </c>
      <c r="E42" s="1" t="s">
        <v>13</v>
      </c>
      <c r="F42" s="15">
        <f>2*A42</f>
        <v>0</v>
      </c>
      <c r="G42" s="1" t="s">
        <v>4</v>
      </c>
      <c r="H42" s="1"/>
      <c r="I42" s="2"/>
      <c r="J42" s="1" t="s">
        <v>25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1</v>
      </c>
      <c r="O42" s="1" t="s">
        <v>6</v>
      </c>
      <c r="P42" s="1"/>
      <c r="Q42" s="1"/>
      <c r="R42" s="1"/>
      <c r="S42" s="1"/>
      <c r="T42" s="2"/>
      <c r="U42" s="15">
        <f t="shared" si="6"/>
        <v>0</v>
      </c>
      <c r="V42" s="17" t="s">
        <v>1</v>
      </c>
      <c r="W42" s="15">
        <f t="shared" si="7"/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 t="shared" si="7"/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 t="shared" si="7"/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9</v>
      </c>
      <c r="B46" s="13"/>
      <c r="C46" s="8"/>
      <c r="D46" s="10">
        <f>D40+D41+D42+D43+D44+D45</f>
        <v>0</v>
      </c>
      <c r="E46" s="8" t="s">
        <v>5</v>
      </c>
      <c r="F46" s="10">
        <f>D40+D41+F42+F43+F44+D45</f>
        <v>0</v>
      </c>
      <c r="G46" s="8" t="s">
        <v>4</v>
      </c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100*D46/D50</f>
        <v>0</v>
      </c>
      <c r="E48" s="8" t="s">
        <v>6</v>
      </c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5541</v>
      </c>
      <c r="E50" s="3" t="s">
        <v>5</v>
      </c>
      <c r="F50" s="4">
        <f>F20+F33+F46</f>
        <v>8789</v>
      </c>
      <c r="G50" s="3" t="s">
        <v>4</v>
      </c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5541</v>
      </c>
      <c r="Y50" s="5" t="s">
        <v>1</v>
      </c>
      <c r="Z50" s="4">
        <f>Z20+Z33+Z46</f>
        <v>776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1"/>
      <c r="V51" s="7"/>
      <c r="W51" s="1"/>
      <c r="X51" s="6">
        <f>F50</f>
        <v>8789</v>
      </c>
      <c r="Y51" s="5" t="s">
        <v>1</v>
      </c>
      <c r="Z51" s="4">
        <f>Z21+Z34+Z47</f>
        <v>1226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24</v>
      </c>
      <c r="B54" s="18" t="s">
        <v>104</v>
      </c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1" t="s">
        <v>23</v>
      </c>
      <c r="V54" s="7"/>
      <c r="W54" s="1"/>
      <c r="X54" s="18">
        <v>3</v>
      </c>
      <c r="Y54" s="1" t="s">
        <v>22</v>
      </c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1"/>
      <c r="V55" s="7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" t="s">
        <v>118</v>
      </c>
      <c r="B56" s="20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La Muraille Invincible + Force Dunmer Sud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15">
        <f t="shared" si="9"/>
        <v>0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/>
      <c r="B58" s="18" t="s">
        <v>18</v>
      </c>
      <c r="C58" s="1" t="s">
        <v>11</v>
      </c>
      <c r="D58" s="15">
        <f>2*A58</f>
        <v>0</v>
      </c>
      <c r="E58" s="1" t="s">
        <v>10</v>
      </c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15">
        <f t="shared" si="9"/>
        <v>0</v>
      </c>
      <c r="V58" s="17" t="s">
        <v>1</v>
      </c>
      <c r="W58" s="15">
        <f t="shared" ref="W58:W63" si="10">ROUND(U58*(1-X$54/100),0)</f>
        <v>0</v>
      </c>
      <c r="X58" s="16" t="str">
        <f t="shared" ref="X58:X63" si="11">B58</f>
        <v>Fantassins</v>
      </c>
      <c r="Y58" s="1" t="s">
        <v>11</v>
      </c>
      <c r="Z58" s="15">
        <f>2*W58</f>
        <v>0</v>
      </c>
      <c r="AA58" s="1" t="s">
        <v>10</v>
      </c>
      <c r="AB58" s="1"/>
      <c r="AC58" s="1"/>
      <c r="AD58" s="1"/>
    </row>
    <row r="59" spans="1:30" x14ac:dyDescent="0.25">
      <c r="A59" s="19">
        <v>2277</v>
      </c>
      <c r="B59" s="18" t="s">
        <v>17</v>
      </c>
      <c r="C59" s="1" t="s">
        <v>11</v>
      </c>
      <c r="D59" s="15">
        <f>3*A59</f>
        <v>6831</v>
      </c>
      <c r="E59" s="1" t="s">
        <v>10</v>
      </c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2277</v>
      </c>
      <c r="V59" s="17" t="s">
        <v>1</v>
      </c>
      <c r="W59" s="15">
        <f t="shared" si="10"/>
        <v>2209</v>
      </c>
      <c r="X59" s="16" t="str">
        <f t="shared" si="11"/>
        <v>Archers</v>
      </c>
      <c r="Y59" s="1" t="s">
        <v>11</v>
      </c>
      <c r="Z59" s="15">
        <f>3*W59</f>
        <v>6627</v>
      </c>
      <c r="AA59" s="1" t="s">
        <v>10</v>
      </c>
      <c r="AB59" s="1"/>
      <c r="AC59" s="1"/>
      <c r="AD59" s="1"/>
    </row>
    <row r="60" spans="1:30" x14ac:dyDescent="0.25">
      <c r="A60" s="19"/>
      <c r="B60" s="18" t="s">
        <v>16</v>
      </c>
      <c r="C60" s="1" t="s">
        <v>11</v>
      </c>
      <c r="D60" s="15">
        <f>4*A60</f>
        <v>0</v>
      </c>
      <c r="E60" s="1" t="s">
        <v>13</v>
      </c>
      <c r="F60" s="15">
        <f>2*A60</f>
        <v>0</v>
      </c>
      <c r="G60" s="1" t="s">
        <v>4</v>
      </c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2"/>
      <c r="U60" s="15">
        <f t="shared" si="9"/>
        <v>0</v>
      </c>
      <c r="V60" s="17" t="s">
        <v>1</v>
      </c>
      <c r="W60" s="15">
        <f t="shared" si="10"/>
        <v>0</v>
      </c>
      <c r="X60" s="16" t="str">
        <f t="shared" si="11"/>
        <v>Cavaliers</v>
      </c>
      <c r="Y60" s="1" t="s">
        <v>11</v>
      </c>
      <c r="Z60" s="15">
        <f>4*W60</f>
        <v>0</v>
      </c>
      <c r="AA60" s="1" t="s">
        <v>13</v>
      </c>
      <c r="AB60" s="15">
        <f>2*W60</f>
        <v>0</v>
      </c>
      <c r="AC60" s="1" t="s">
        <v>4</v>
      </c>
      <c r="AD60" s="1"/>
    </row>
    <row r="61" spans="1:30" x14ac:dyDescent="0.25">
      <c r="A61" s="19">
        <v>2732</v>
      </c>
      <c r="B61" s="18" t="s">
        <v>15</v>
      </c>
      <c r="C61" s="1" t="s">
        <v>11</v>
      </c>
      <c r="D61" s="15">
        <f>1*A61</f>
        <v>2732</v>
      </c>
      <c r="E61" s="1" t="s">
        <v>13</v>
      </c>
      <c r="F61" s="15">
        <f>3*A61</f>
        <v>8196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2732</v>
      </c>
      <c r="V61" s="17" t="s">
        <v>1</v>
      </c>
      <c r="W61" s="15">
        <f t="shared" si="10"/>
        <v>2650</v>
      </c>
      <c r="X61" s="16" t="str">
        <f t="shared" si="11"/>
        <v>Mineurs</v>
      </c>
      <c r="Y61" s="1" t="s">
        <v>11</v>
      </c>
      <c r="Z61" s="15">
        <f>1*W61</f>
        <v>2650</v>
      </c>
      <c r="AA61" s="1" t="s">
        <v>13</v>
      </c>
      <c r="AB61" s="15">
        <f>3*W61</f>
        <v>7950</v>
      </c>
      <c r="AC61" s="1" t="s">
        <v>4</v>
      </c>
      <c r="AD61" s="1"/>
    </row>
    <row r="62" spans="1:30" x14ac:dyDescent="0.25">
      <c r="A62" s="19">
        <v>774</v>
      </c>
      <c r="B62" s="18" t="s">
        <v>14</v>
      </c>
      <c r="C62" s="1" t="s">
        <v>11</v>
      </c>
      <c r="D62" s="15">
        <f>15*A62</f>
        <v>11610</v>
      </c>
      <c r="E62" s="1" t="s">
        <v>13</v>
      </c>
      <c r="F62" s="15">
        <f>50*A62</f>
        <v>38700</v>
      </c>
      <c r="G62" s="1" t="s">
        <v>4</v>
      </c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774</v>
      </c>
      <c r="V62" s="17" t="s">
        <v>1</v>
      </c>
      <c r="W62" s="15">
        <f t="shared" si="10"/>
        <v>751</v>
      </c>
      <c r="X62" s="16" t="str">
        <f t="shared" si="11"/>
        <v>Engins de Siège</v>
      </c>
      <c r="Y62" s="1" t="s">
        <v>11</v>
      </c>
      <c r="Z62" s="15">
        <f>15*W62</f>
        <v>11265</v>
      </c>
      <c r="AA62" s="1" t="s">
        <v>13</v>
      </c>
      <c r="AB62" s="15">
        <f>50*W62</f>
        <v>37550</v>
      </c>
      <c r="AC62" s="1" t="s">
        <v>4</v>
      </c>
      <c r="AD62" s="1"/>
    </row>
    <row r="63" spans="1:30" x14ac:dyDescent="0.25">
      <c r="A63" s="19">
        <v>546</v>
      </c>
      <c r="B63" s="18" t="s">
        <v>114</v>
      </c>
      <c r="C63" s="1" t="s">
        <v>11</v>
      </c>
      <c r="D63" s="15">
        <f>10*A63</f>
        <v>5460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546</v>
      </c>
      <c r="V63" s="17" t="s">
        <v>1</v>
      </c>
      <c r="W63" s="15">
        <f t="shared" si="10"/>
        <v>530</v>
      </c>
      <c r="X63" s="16" t="str">
        <f t="shared" si="11"/>
        <v>Légionnaires</v>
      </c>
      <c r="Y63" s="1" t="s">
        <v>11</v>
      </c>
      <c r="Z63" s="15">
        <f>10*W63</f>
        <v>5300</v>
      </c>
      <c r="AA63" s="1" t="s">
        <v>10</v>
      </c>
      <c r="AB63" s="1"/>
      <c r="AC63" s="1"/>
      <c r="AD63" s="1"/>
    </row>
    <row r="64" spans="1:30" x14ac:dyDescent="0.25">
      <c r="A64" s="8" t="s">
        <v>9</v>
      </c>
      <c r="B64" s="13"/>
      <c r="C64" s="8"/>
      <c r="D64" s="10">
        <f>D58+D59+D60+D61+D62+D63</f>
        <v>26633</v>
      </c>
      <c r="E64" s="8" t="s">
        <v>5</v>
      </c>
      <c r="F64" s="10">
        <f>D58+D59+F60+F61+F62+D63</f>
        <v>59187</v>
      </c>
      <c r="G64" s="8" t="s">
        <v>4</v>
      </c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26633</v>
      </c>
      <c r="Y64" s="11" t="s">
        <v>1</v>
      </c>
      <c r="Z64" s="10">
        <f>Z58+Z59+Z60+Z61+Z62+Z63</f>
        <v>25842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59187</v>
      </c>
      <c r="Y65" s="11" t="s">
        <v>1</v>
      </c>
      <c r="Z65" s="10">
        <f>Z58+Z59+AB60+AB61+AB62+Z63</f>
        <v>57427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100*D64/D94</f>
        <v>100</v>
      </c>
      <c r="E66" s="8" t="s">
        <v>6</v>
      </c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100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25"/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112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2">A69</f>
        <v># Force d'Interception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19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2"/>
        <v>(Notifier la présence éventuelle du Roi ou du Vassal ici)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/>
      <c r="B71" s="18" t="s">
        <v>18</v>
      </c>
      <c r="C71" s="1" t="s">
        <v>11</v>
      </c>
      <c r="D71" s="15">
        <f>2*A71</f>
        <v>0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2"/>
        <v>0</v>
      </c>
      <c r="V71" s="17" t="s">
        <v>1</v>
      </c>
      <c r="W71" s="15">
        <f t="shared" ref="W71:W76" si="13">ROUND(U71*(1-X$54/100),0)</f>
        <v>0</v>
      </c>
      <c r="X71" s="16" t="str">
        <f t="shared" ref="X71:X76" si="14">B71</f>
        <v>Fantassins</v>
      </c>
      <c r="Y71" s="1" t="s">
        <v>11</v>
      </c>
      <c r="Z71" s="15">
        <f>2*W71</f>
        <v>0</v>
      </c>
      <c r="AA71" s="1" t="s">
        <v>10</v>
      </c>
      <c r="AB71" s="1"/>
      <c r="AC71" s="1"/>
      <c r="AD71" s="1"/>
    </row>
    <row r="72" spans="1:30" x14ac:dyDescent="0.25">
      <c r="A72" s="19"/>
      <c r="B72" s="18" t="s">
        <v>17</v>
      </c>
      <c r="C72" s="1" t="s">
        <v>11</v>
      </c>
      <c r="D72" s="15">
        <f>3*A72</f>
        <v>0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2"/>
        <v>0</v>
      </c>
      <c r="V72" s="17" t="s">
        <v>1</v>
      </c>
      <c r="W72" s="15">
        <f t="shared" si="13"/>
        <v>0</v>
      </c>
      <c r="X72" s="16" t="str">
        <f t="shared" si="14"/>
        <v>Archers</v>
      </c>
      <c r="Y72" s="1" t="s">
        <v>11</v>
      </c>
      <c r="Z72" s="15">
        <f>3*W72</f>
        <v>0</v>
      </c>
      <c r="AA72" s="1" t="s">
        <v>10</v>
      </c>
      <c r="AB72" s="1"/>
      <c r="AC72" s="1"/>
      <c r="AD72" s="1"/>
    </row>
    <row r="73" spans="1:30" x14ac:dyDescent="0.25">
      <c r="A73" s="19"/>
      <c r="B73" s="18" t="s">
        <v>16</v>
      </c>
      <c r="C73" s="1" t="s">
        <v>11</v>
      </c>
      <c r="D73" s="15">
        <f>4*A73</f>
        <v>0</v>
      </c>
      <c r="E73" s="1" t="s">
        <v>13</v>
      </c>
      <c r="F73" s="15">
        <f>2*A73</f>
        <v>0</v>
      </c>
      <c r="G73" s="1" t="s">
        <v>4</v>
      </c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2"/>
        <v>0</v>
      </c>
      <c r="V73" s="17" t="s">
        <v>1</v>
      </c>
      <c r="W73" s="15">
        <f t="shared" si="13"/>
        <v>0</v>
      </c>
      <c r="X73" s="16" t="str">
        <f t="shared" si="14"/>
        <v>Cavaliers</v>
      </c>
      <c r="Y73" s="1" t="s">
        <v>11</v>
      </c>
      <c r="Z73" s="15">
        <f>4*W73</f>
        <v>0</v>
      </c>
      <c r="AA73" s="1" t="s">
        <v>13</v>
      </c>
      <c r="AB73" s="15">
        <f>2*W73</f>
        <v>0</v>
      </c>
      <c r="AC73" s="1" t="s">
        <v>4</v>
      </c>
      <c r="AD73" s="1"/>
    </row>
    <row r="74" spans="1:30" x14ac:dyDescent="0.25">
      <c r="A74" s="19"/>
      <c r="B74" s="18" t="s">
        <v>15</v>
      </c>
      <c r="C74" s="1" t="s">
        <v>11</v>
      </c>
      <c r="D74" s="15">
        <f>1*A74</f>
        <v>0</v>
      </c>
      <c r="E74" s="1" t="s">
        <v>13</v>
      </c>
      <c r="F74" s="15">
        <f>3*A74</f>
        <v>0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2"/>
        <v>0</v>
      </c>
      <c r="V74" s="17" t="s">
        <v>1</v>
      </c>
      <c r="W74" s="15">
        <f t="shared" si="13"/>
        <v>0</v>
      </c>
      <c r="X74" s="16" t="str">
        <f t="shared" si="14"/>
        <v>Mineurs</v>
      </c>
      <c r="Y74" s="1" t="s">
        <v>11</v>
      </c>
      <c r="Z74" s="15">
        <f>1*W74</f>
        <v>0</v>
      </c>
      <c r="AA74" s="1" t="s">
        <v>13</v>
      </c>
      <c r="AB74" s="15">
        <f>3*W74</f>
        <v>0</v>
      </c>
      <c r="AC74" s="1" t="s">
        <v>4</v>
      </c>
      <c r="AD74" s="1"/>
    </row>
    <row r="75" spans="1:30" x14ac:dyDescent="0.25">
      <c r="A75" s="19"/>
      <c r="B75" s="18" t="s">
        <v>14</v>
      </c>
      <c r="C75" s="1" t="s">
        <v>11</v>
      </c>
      <c r="D75" s="15">
        <f>15*A75</f>
        <v>0</v>
      </c>
      <c r="E75" s="1" t="s">
        <v>13</v>
      </c>
      <c r="F75" s="15">
        <f>50*A75</f>
        <v>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2"/>
        <v>0</v>
      </c>
      <c r="V75" s="17" t="s">
        <v>1</v>
      </c>
      <c r="W75" s="15">
        <f t="shared" si="13"/>
        <v>0</v>
      </c>
      <c r="X75" s="16" t="str">
        <f t="shared" si="14"/>
        <v>Engins de Siège</v>
      </c>
      <c r="Y75" s="1" t="s">
        <v>11</v>
      </c>
      <c r="Z75" s="15">
        <f>15*W75</f>
        <v>0</v>
      </c>
      <c r="AA75" s="1" t="s">
        <v>13</v>
      </c>
      <c r="AB75" s="15">
        <f>50*W75</f>
        <v>0</v>
      </c>
      <c r="AC75" s="1" t="s">
        <v>4</v>
      </c>
      <c r="AD75" s="1"/>
    </row>
    <row r="76" spans="1:30" x14ac:dyDescent="0.25">
      <c r="A76" s="19"/>
      <c r="B76" s="18" t="s">
        <v>94</v>
      </c>
      <c r="C76" s="1" t="s">
        <v>11</v>
      </c>
      <c r="D76" s="15">
        <f>10*A76</f>
        <v>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2"/>
        <v>0</v>
      </c>
      <c r="V76" s="17" t="s">
        <v>1</v>
      </c>
      <c r="W76" s="15">
        <f t="shared" si="13"/>
        <v>0</v>
      </c>
      <c r="X76" s="16" t="str">
        <f t="shared" si="14"/>
        <v>Mages</v>
      </c>
      <c r="Y76" s="1" t="s">
        <v>11</v>
      </c>
      <c r="Z76" s="15">
        <f>10*W76</f>
        <v>0</v>
      </c>
      <c r="AA76" s="1" t="s">
        <v>10</v>
      </c>
      <c r="AB76" s="1"/>
      <c r="AC76" s="1"/>
      <c r="AD76" s="1"/>
    </row>
    <row r="77" spans="1:30" x14ac:dyDescent="0.25">
      <c r="A77" s="8" t="s">
        <v>9</v>
      </c>
      <c r="B77" s="13"/>
      <c r="C77" s="8"/>
      <c r="D77" s="10">
        <f>D71+D72+D73+D74+D75+D76</f>
        <v>0</v>
      </c>
      <c r="E77" s="8" t="s">
        <v>5</v>
      </c>
      <c r="F77" s="10">
        <f>D71+D72+F73+F74+F75+D76</f>
        <v>0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0</v>
      </c>
      <c r="Y77" s="11" t="s">
        <v>1</v>
      </c>
      <c r="Z77" s="10">
        <f>Z71+Z72+Z73+Z74+Z75+Z76</f>
        <v>0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0</v>
      </c>
      <c r="Y78" s="11" t="s">
        <v>1</v>
      </c>
      <c r="Z78" s="10">
        <f>Z71+Z72+AB73+AB74+AB75+Z76</f>
        <v>0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100*D77/D94</f>
        <v>0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0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25"/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5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5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5"/>
        <v>0</v>
      </c>
      <c r="V84" s="17" t="s">
        <v>1</v>
      </c>
      <c r="W84" s="15">
        <f t="shared" ref="W84:W89" si="16">ROUND(U84*(1-X$54/100),0)</f>
        <v>0</v>
      </c>
      <c r="X84" s="16" t="str">
        <f t="shared" ref="X84:X89" si="17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5"/>
        <v>0</v>
      </c>
      <c r="V85" s="17" t="s">
        <v>1</v>
      </c>
      <c r="W85" s="15">
        <f t="shared" si="16"/>
        <v>0</v>
      </c>
      <c r="X85" s="16" t="str">
        <f t="shared" si="17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4*A86</f>
        <v>0</v>
      </c>
      <c r="E86" s="1" t="s">
        <v>13</v>
      </c>
      <c r="F86" s="15">
        <f>2*A86</f>
        <v>0</v>
      </c>
      <c r="G86" s="1" t="s">
        <v>4</v>
      </c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5"/>
        <v>0</v>
      </c>
      <c r="V86" s="17" t="s">
        <v>1</v>
      </c>
      <c r="W86" s="15">
        <f t="shared" si="16"/>
        <v>0</v>
      </c>
      <c r="X86" s="16" t="str">
        <f t="shared" si="17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5"/>
        <v>0</v>
      </c>
      <c r="V87" s="17" t="s">
        <v>1</v>
      </c>
      <c r="W87" s="15">
        <f t="shared" si="16"/>
        <v>0</v>
      </c>
      <c r="X87" s="16" t="str">
        <f t="shared" si="17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5"/>
        <v>0</v>
      </c>
      <c r="V88" s="17" t="s">
        <v>1</v>
      </c>
      <c r="W88" s="15">
        <f t="shared" si="16"/>
        <v>0</v>
      </c>
      <c r="X88" s="16" t="str">
        <f t="shared" si="17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5"/>
        <v>0</v>
      </c>
      <c r="V89" s="17" t="s">
        <v>1</v>
      </c>
      <c r="W89" s="15">
        <f t="shared" si="16"/>
        <v>0</v>
      </c>
      <c r="X89" s="16" t="str">
        <f t="shared" si="17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14" t="s">
        <v>9</v>
      </c>
      <c r="B90" s="13"/>
      <c r="C90" s="8"/>
      <c r="D90" s="10">
        <f>D84+D85+D86+D87+D88+D89</f>
        <v>0</v>
      </c>
      <c r="E90" s="8" t="s">
        <v>5</v>
      </c>
      <c r="F90" s="10">
        <f>D84+D85+F86+F87+F88+D89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12"/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100*D90/D94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26633</v>
      </c>
      <c r="E94" s="3" t="s">
        <v>5</v>
      </c>
      <c r="F94" s="4">
        <f>F64+F77+F90</f>
        <v>59187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26633</v>
      </c>
      <c r="Y94" s="5" t="s">
        <v>1</v>
      </c>
      <c r="Z94" s="4">
        <f>Z64+Z77+Z90</f>
        <v>25842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59187</v>
      </c>
      <c r="Y95" s="5" t="s">
        <v>1</v>
      </c>
      <c r="Z95" s="4">
        <f>Z65+Z78+Z91</f>
        <v>57427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:D24">
    <cfRule type="cellIs" dxfId="73" priority="31" operator="greaterThanOrEqual">
      <formula>25</formula>
    </cfRule>
    <cfRule type="cellIs" dxfId="72" priority="32" operator="lessThan">
      <formula>25</formula>
    </cfRule>
  </conditionalFormatting>
  <conditionalFormatting sqref="D35">
    <cfRule type="cellIs" dxfId="71" priority="29" operator="greaterThanOrEqual">
      <formula>25</formula>
    </cfRule>
    <cfRule type="cellIs" dxfId="70" priority="30" operator="lessThan">
      <formula>25</formula>
    </cfRule>
  </conditionalFormatting>
  <conditionalFormatting sqref="D48">
    <cfRule type="cellIs" dxfId="69" priority="27" operator="greaterThanOrEqual">
      <formula>25</formula>
    </cfRule>
    <cfRule type="cellIs" dxfId="68" priority="28" operator="lessThan">
      <formula>25</formula>
    </cfRule>
  </conditionalFormatting>
  <conditionalFormatting sqref="D66:D68">
    <cfRule type="cellIs" dxfId="67" priority="23" operator="greaterThanOrEqual">
      <formula>25</formula>
    </cfRule>
    <cfRule type="cellIs" dxfId="66" priority="24" operator="lessThan">
      <formula>25</formula>
    </cfRule>
  </conditionalFormatting>
  <conditionalFormatting sqref="D79">
    <cfRule type="cellIs" dxfId="65" priority="21" operator="greaterThanOrEqual">
      <formula>25</formula>
    </cfRule>
    <cfRule type="cellIs" dxfId="64" priority="22" operator="lessThan">
      <formula>25</formula>
    </cfRule>
  </conditionalFormatting>
  <conditionalFormatting sqref="D92">
    <cfRule type="cellIs" dxfId="63" priority="19" operator="greaterThanOrEqual">
      <formula>25</formula>
    </cfRule>
    <cfRule type="cellIs" dxfId="62" priority="20" operator="lessThan">
      <formula>25</formula>
    </cfRule>
  </conditionalFormatting>
  <conditionalFormatting sqref="D36:D37">
    <cfRule type="cellIs" dxfId="61" priority="25" operator="greaterThanOrEqual">
      <formula>25</formula>
    </cfRule>
    <cfRule type="cellIs" dxfId="60" priority="26" operator="lessThan">
      <formula>25</formula>
    </cfRule>
  </conditionalFormatting>
  <conditionalFormatting sqref="D80:D81">
    <cfRule type="cellIs" dxfId="59" priority="17" operator="greaterThanOrEqual">
      <formula>25</formula>
    </cfRule>
    <cfRule type="cellIs" dxfId="58" priority="18" operator="lessThan">
      <formula>25</formula>
    </cfRule>
  </conditionalFormatting>
  <conditionalFormatting sqref="Z22:Z24">
    <cfRule type="cellIs" dxfId="57" priority="15" operator="greaterThanOrEqual">
      <formula>25</formula>
    </cfRule>
    <cfRule type="cellIs" dxfId="56" priority="16" operator="lessThan">
      <formula>25</formula>
    </cfRule>
  </conditionalFormatting>
  <conditionalFormatting sqref="Z35">
    <cfRule type="cellIs" dxfId="55" priority="13" operator="greaterThanOrEqual">
      <formula>25</formula>
    </cfRule>
    <cfRule type="cellIs" dxfId="54" priority="14" operator="lessThan">
      <formula>25</formula>
    </cfRule>
  </conditionalFormatting>
  <conditionalFormatting sqref="Z48">
    <cfRule type="cellIs" dxfId="53" priority="11" operator="greaterThanOrEqual">
      <formula>25</formula>
    </cfRule>
    <cfRule type="cellIs" dxfId="52" priority="12" operator="lessThan">
      <formula>25</formula>
    </cfRule>
  </conditionalFormatting>
  <conditionalFormatting sqref="Z36:Z37">
    <cfRule type="cellIs" dxfId="51" priority="9" operator="greaterThanOrEqual">
      <formula>25</formula>
    </cfRule>
    <cfRule type="cellIs" dxfId="50" priority="10" operator="lessThan">
      <formula>25</formula>
    </cfRule>
  </conditionalFormatting>
  <conditionalFormatting sqref="Z66:Z68">
    <cfRule type="cellIs" dxfId="49" priority="7" operator="greaterThanOrEqual">
      <formula>25</formula>
    </cfRule>
    <cfRule type="cellIs" dxfId="48" priority="8" operator="lessThan">
      <formula>25</formula>
    </cfRule>
  </conditionalFormatting>
  <conditionalFormatting sqref="Z79">
    <cfRule type="cellIs" dxfId="47" priority="5" operator="greaterThanOrEqual">
      <formula>25</formula>
    </cfRule>
    <cfRule type="cellIs" dxfId="46" priority="6" operator="lessThan">
      <formula>25</formula>
    </cfRule>
  </conditionalFormatting>
  <conditionalFormatting sqref="Z92">
    <cfRule type="cellIs" dxfId="45" priority="3" operator="greaterThanOrEqual">
      <formula>25</formula>
    </cfRule>
    <cfRule type="cellIs" dxfId="44" priority="4" operator="lessThan">
      <formula>25</formula>
    </cfRule>
  </conditionalFormatting>
  <conditionalFormatting sqref="Z80:Z81">
    <cfRule type="cellIs" dxfId="43" priority="1" operator="greaterThanOrEqual">
      <formula>25</formula>
    </cfRule>
    <cfRule type="cellIs" dxfId="42" priority="2" operator="lessThan">
      <formula>25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workbookViewId="0">
      <selection activeCell="N59" sqref="N59"/>
    </sheetView>
  </sheetViews>
  <sheetFormatPr baseColWidth="10" defaultRowHeight="15" x14ac:dyDescent="0.25"/>
  <cols>
    <col min="1" max="1" width="9.28515625" customWidth="1"/>
    <col min="2" max="2" width="18.42578125" customWidth="1"/>
    <col min="3" max="3" width="3.140625" customWidth="1"/>
    <col min="4" max="4" width="10.42578125" customWidth="1"/>
    <col min="5" max="5" width="7.7109375" customWidth="1"/>
    <col min="6" max="6" width="10.28515625" customWidth="1"/>
    <col min="7" max="7" width="10.85546875" customWidth="1"/>
    <col min="8" max="8" width="4.42578125" customWidth="1"/>
    <col min="9" max="9" width="0.28515625" customWidth="1"/>
    <col min="11" max="11" width="10.140625" customWidth="1"/>
    <col min="13" max="13" width="2.140625" customWidth="1"/>
    <col min="14" max="14" width="10" customWidth="1"/>
    <col min="15" max="15" width="2" customWidth="1"/>
    <col min="16" max="16" width="6.140625" customWidth="1"/>
    <col min="17" max="17" width="11" customWidth="1"/>
    <col min="18" max="18" width="5.5703125" customWidth="1"/>
    <col min="19" max="19" width="17.85546875" customWidth="1"/>
    <col min="20" max="20" width="0.28515625" customWidth="1"/>
    <col min="22" max="22" width="3.5703125" customWidth="1"/>
    <col min="23" max="23" width="11.140625" customWidth="1"/>
    <col min="24" max="24" width="17" customWidth="1"/>
    <col min="25" max="25" width="3.85546875" customWidth="1"/>
    <col min="27" max="27" width="7.7109375" customWidth="1"/>
    <col min="28" max="28" width="10.140625" customWidth="1"/>
  </cols>
  <sheetData>
    <row r="1" spans="1:30" x14ac:dyDescent="0.25">
      <c r="A1" s="8" t="s">
        <v>138</v>
      </c>
      <c r="B1" s="8"/>
      <c r="C1" s="8"/>
      <c r="D1" s="8"/>
      <c r="E1" s="8"/>
      <c r="F1" s="8"/>
      <c r="G1" s="8"/>
      <c r="H1" s="8"/>
      <c r="I1" s="36"/>
      <c r="J1" s="8" t="s">
        <v>64</v>
      </c>
      <c r="K1" s="8"/>
      <c r="L1" s="8"/>
      <c r="M1" s="8"/>
      <c r="N1" s="8"/>
      <c r="O1" s="8"/>
      <c r="P1" s="8"/>
      <c r="Q1" s="8"/>
      <c r="R1" s="8"/>
      <c r="S1" s="8"/>
      <c r="T1" s="36"/>
      <c r="U1" s="8" t="s">
        <v>63</v>
      </c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5" t="s">
        <v>62</v>
      </c>
      <c r="B2" s="35"/>
      <c r="C2" s="35"/>
      <c r="D2" s="35"/>
      <c r="E2" s="35"/>
      <c r="F2" s="35"/>
      <c r="G2" s="1"/>
      <c r="H2" s="1"/>
      <c r="I2" s="2"/>
      <c r="J2" s="1" t="s">
        <v>61</v>
      </c>
      <c r="K2" s="18" t="s">
        <v>97</v>
      </c>
      <c r="L2" s="1" t="s">
        <v>59</v>
      </c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34" t="s">
        <v>58</v>
      </c>
      <c r="B3" s="34"/>
      <c r="C3" s="34"/>
      <c r="D3" s="34"/>
      <c r="E3" s="34"/>
      <c r="F3" s="34"/>
      <c r="G3" s="34"/>
      <c r="H3" s="1"/>
      <c r="I3" s="2"/>
      <c r="T3" s="2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34" t="s">
        <v>57</v>
      </c>
      <c r="B4" s="34"/>
      <c r="C4" s="34"/>
      <c r="D4" s="34"/>
      <c r="E4" s="34"/>
      <c r="F4" s="34"/>
      <c r="G4" s="34"/>
      <c r="H4" s="1"/>
      <c r="I4" s="2"/>
      <c r="T4" s="2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.5" customHeight="1" x14ac:dyDescent="0.25">
      <c r="A5" s="26"/>
      <c r="B5" s="26"/>
      <c r="C5" s="26"/>
      <c r="D5" s="26"/>
      <c r="E5" s="26"/>
      <c r="F5" s="26"/>
      <c r="G5" s="26"/>
      <c r="H5" s="26"/>
      <c r="I5" s="2"/>
      <c r="J5" s="26"/>
      <c r="K5" s="26"/>
      <c r="L5" s="26"/>
      <c r="M5" s="26"/>
      <c r="N5" s="26"/>
      <c r="O5" s="26"/>
      <c r="P5" s="26"/>
      <c r="Q5" s="26"/>
      <c r="R5" s="26"/>
      <c r="S5" s="26"/>
      <c r="T5" s="2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x14ac:dyDescent="0.25">
      <c r="A6" s="1" t="s">
        <v>56</v>
      </c>
      <c r="B6" s="1"/>
      <c r="C6" s="1"/>
      <c r="D6" s="1"/>
      <c r="E6" s="1"/>
      <c r="F6" s="1"/>
      <c r="G6" s="1"/>
      <c r="H6" s="1"/>
      <c r="I6" s="2"/>
      <c r="J6" s="1" t="s">
        <v>55</v>
      </c>
      <c r="L6" s="1"/>
      <c r="M6" s="1"/>
      <c r="N6" s="1"/>
      <c r="O6" s="1"/>
      <c r="P6" s="1"/>
      <c r="Q6" s="1"/>
      <c r="R6" s="18"/>
      <c r="S6" s="1"/>
      <c r="T6" s="2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G7" s="1"/>
      <c r="H7" s="1"/>
      <c r="I7" s="2"/>
      <c r="J7" s="1" t="s">
        <v>53</v>
      </c>
      <c r="L7" s="1"/>
      <c r="M7" s="1"/>
      <c r="N7" s="1"/>
      <c r="O7" s="1"/>
      <c r="P7" s="1"/>
      <c r="Q7" s="1"/>
      <c r="R7" s="16"/>
      <c r="S7" s="1" t="s">
        <v>52</v>
      </c>
      <c r="T7" s="2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.5" customHeight="1" x14ac:dyDescent="0.25">
      <c r="A8" s="26"/>
      <c r="B8" s="26"/>
      <c r="C8" s="26"/>
      <c r="D8" s="26"/>
      <c r="E8" s="26"/>
      <c r="F8" s="26"/>
      <c r="G8" s="26"/>
      <c r="H8" s="26"/>
      <c r="I8" s="2"/>
      <c r="J8" s="26"/>
      <c r="K8" s="26"/>
      <c r="L8" s="26"/>
      <c r="M8" s="26"/>
      <c r="N8" s="26"/>
      <c r="O8" s="26"/>
      <c r="P8" s="26"/>
      <c r="Q8" s="26"/>
      <c r="R8" s="26"/>
      <c r="S8" s="26"/>
      <c r="T8" s="2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ht="33" customHeight="1" x14ac:dyDescent="0.35">
      <c r="A9" s="41" t="s">
        <v>139</v>
      </c>
      <c r="B9" s="37"/>
      <c r="C9" s="1"/>
      <c r="D9" s="1"/>
      <c r="E9" s="1"/>
      <c r="F9" s="1"/>
      <c r="G9" s="1"/>
      <c r="H9" s="1"/>
      <c r="I9" s="2"/>
      <c r="J9" s="30" t="s">
        <v>170</v>
      </c>
      <c r="K9" s="30"/>
      <c r="L9" s="30"/>
      <c r="M9" s="30"/>
      <c r="N9" s="30"/>
      <c r="O9" s="30"/>
      <c r="P9" s="1"/>
      <c r="Q9" s="1"/>
      <c r="R9" s="1"/>
      <c r="S9" s="1"/>
      <c r="T9" s="2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 t="s">
        <v>24</v>
      </c>
      <c r="B10" s="18" t="s">
        <v>168</v>
      </c>
      <c r="C10" s="1"/>
      <c r="D10" s="1"/>
      <c r="E10" s="1"/>
      <c r="F10" s="1"/>
      <c r="G10" s="1"/>
      <c r="H10" s="1"/>
      <c r="I10" s="2"/>
      <c r="J10" s="30" t="s">
        <v>171</v>
      </c>
      <c r="K10" s="30"/>
      <c r="L10" s="30"/>
      <c r="M10" s="1"/>
      <c r="N10" s="1"/>
      <c r="O10" s="1"/>
      <c r="Q10" s="1"/>
      <c r="T10" s="2"/>
      <c r="U10" s="1" t="s">
        <v>153</v>
      </c>
      <c r="V10" s="1"/>
      <c r="W10" s="1"/>
      <c r="X10" s="18">
        <v>0</v>
      </c>
      <c r="Y10" s="1" t="s">
        <v>149</v>
      </c>
      <c r="Z10" s="1"/>
      <c r="AA10" s="38">
        <f>IF(K$2="Mer",X$10,X$10*0.5)</f>
        <v>0</v>
      </c>
      <c r="AB10" s="1" t="s">
        <v>150</v>
      </c>
      <c r="AC10" s="1"/>
      <c r="AD10" s="1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2"/>
      <c r="J11" s="30" t="s">
        <v>172</v>
      </c>
      <c r="K11" s="30"/>
      <c r="L11" s="30"/>
      <c r="M11" s="1"/>
      <c r="N11" s="1"/>
      <c r="O11" s="1"/>
      <c r="P11" s="1"/>
      <c r="Q11" s="1"/>
      <c r="R11" s="1"/>
      <c r="S11" s="1"/>
      <c r="T11" s="2"/>
      <c r="U11" s="1"/>
      <c r="V11" s="1"/>
      <c r="W11" s="1"/>
      <c r="X11" s="1"/>
      <c r="Y11" s="1"/>
      <c r="Z11" s="31" t="s">
        <v>152</v>
      </c>
      <c r="AA11" s="38">
        <f>IF(IF(K$2="Mer",X$10,X$10*2)&gt;100,100,IF(K$2="Mer",X$10,X$10*2))</f>
        <v>0</v>
      </c>
      <c r="AB11" s="1" t="s">
        <v>151</v>
      </c>
      <c r="AC11" s="1"/>
      <c r="AD11" s="1"/>
    </row>
    <row r="12" spans="1:30" x14ac:dyDescent="0.25">
      <c r="A12" s="21" t="s">
        <v>117</v>
      </c>
      <c r="B12" s="20"/>
      <c r="C12" s="1"/>
      <c r="D12" s="1"/>
      <c r="E12" s="1"/>
      <c r="F12" s="1"/>
      <c r="G12" s="1"/>
      <c r="H12" s="1"/>
      <c r="I12" s="2"/>
      <c r="J12" s="16" t="s">
        <v>50</v>
      </c>
      <c r="K12" s="16"/>
      <c r="L12" s="15">
        <f>IF(OR(K2="Mer",K2="Siège"),IF(F50&gt;F94,F50,F94),IF(K2="Plaine",IF(D50&gt;D94,D50,D94),"Erreur !"))</f>
        <v>175000</v>
      </c>
      <c r="M12" s="16" t="s">
        <v>49</v>
      </c>
      <c r="N12" s="33">
        <f>IF(OR(K2="Mer",K2="Siège"),IF(F50&lt;=F94,F50,F94),IF(K2="Plaine",IF(D50&lt;=D94,D50,D94),"Erreur !"))</f>
        <v>135000</v>
      </c>
      <c r="O12" s="16" t="s">
        <v>48</v>
      </c>
      <c r="P12" s="32">
        <f>L12/N12</f>
        <v>1.2962962962962963</v>
      </c>
      <c r="Q12" s="16" t="str">
        <f>IF(P12&lt;2^0.25,"=&gt; Égalité",IF(P12&lt;2^0.5,"=&gt; +1",IF(P12&lt;2^0.75,"=&gt; +2",IF(P12&lt;2^1,"=&gt; +3",IF(P12&lt;2^1.25,"=&gt; +4",IF(P12&lt;2^1.5,"=&gt; +5",IF(P12&lt;2^1.75,"=&gt; +6",IF(P12&lt;2^2,"=&gt; +7",IF(P12&lt;2^2.25,"=&gt; +8",IF(P12&lt;2^2.5,"=&gt; +9",IF(P12&lt;2^2.75,"=&gt; +10",IF(P12&lt;2^3,"=&gt; +11",IF(P12&lt;2^3.25,"=&gt; +12",IF(P12&lt;2^3.5,"=&gt; +13",IF(P12&lt;2^3.75,"=&gt; +14",IF(P12&lt;2^4,"=&gt; +15",IF(P12&lt;2^4.25,"=&gt; +16",IF(P12&lt;2^4.5,"=&gt; +17",IF(P12&lt;2^4.75,"=&gt; +18",IF(P12&lt;2^5,"=&gt; +19","=&gt; +20"))))))))))))))))))))</f>
        <v>=&gt; +1</v>
      </c>
      <c r="R12" s="16" t="str">
        <f>IF(P12&lt;2^0.25,"","pour")</f>
        <v>pour</v>
      </c>
      <c r="S12" s="16" t="str">
        <f>IF(P12&lt;2^0.25,"",IF(OR(K2="Mer",K2="Siège"),IF(F50&gt;F94,B10,B54),IF(K2="Plaine",IF(D50&gt;D94,B10,B54),"Erreur !")))</f>
        <v>Joueur 1</v>
      </c>
      <c r="T12" s="2"/>
      <c r="U12" s="15" t="str">
        <f t="shared" ref="U12:U19" si="0">A12</f>
        <v>Légion III</v>
      </c>
      <c r="V12" s="20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8" t="s">
        <v>19</v>
      </c>
      <c r="B13" s="1"/>
      <c r="C13" s="1"/>
      <c r="D13" s="1"/>
      <c r="E13" s="1"/>
      <c r="F13" s="1"/>
      <c r="G13" s="1"/>
      <c r="H13" s="1"/>
      <c r="I13" s="2"/>
      <c r="J13" s="1" t="s">
        <v>47</v>
      </c>
      <c r="K13" s="1"/>
      <c r="L13" s="1"/>
      <c r="M13" s="1"/>
      <c r="N13" s="1"/>
      <c r="O13" s="1"/>
      <c r="P13" s="1"/>
      <c r="Q13" s="1"/>
      <c r="R13" s="1"/>
      <c r="S13" s="1"/>
      <c r="T13" s="2"/>
      <c r="U13" s="15" t="str">
        <f t="shared" si="0"/>
        <v>(Notifier la présence éventuelle du Roi ou du Vassal ici)</v>
      </c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9">
        <v>6000</v>
      </c>
      <c r="B14" s="18" t="s">
        <v>18</v>
      </c>
      <c r="C14" s="1" t="s">
        <v>11</v>
      </c>
      <c r="D14" s="15">
        <f>2*A14</f>
        <v>12000</v>
      </c>
      <c r="E14" s="1" t="s">
        <v>10</v>
      </c>
      <c r="F14" s="1"/>
      <c r="G14" s="1"/>
      <c r="H14" s="1"/>
      <c r="I14" s="2"/>
      <c r="J14" s="7" t="s">
        <v>46</v>
      </c>
      <c r="K14" s="1"/>
      <c r="L14" s="1"/>
      <c r="M14" s="1"/>
      <c r="N14" s="1"/>
      <c r="O14" s="1"/>
      <c r="P14" s="1"/>
      <c r="Q14" s="1"/>
      <c r="R14" s="1"/>
      <c r="S14" s="1"/>
      <c r="T14" s="2"/>
      <c r="U14" s="15">
        <f t="shared" si="0"/>
        <v>6000</v>
      </c>
      <c r="V14" s="17" t="s">
        <v>1</v>
      </c>
      <c r="W14" s="15">
        <f t="shared" ref="W14:W19" si="1">ROUND(U14*(1-X$10/100),0)</f>
        <v>6000</v>
      </c>
      <c r="X14" s="16" t="str">
        <f t="shared" ref="X14:X19" si="2">B14</f>
        <v>Fantassins</v>
      </c>
      <c r="Y14" s="1" t="s">
        <v>11</v>
      </c>
      <c r="Z14" s="15">
        <f>2*W14</f>
        <v>12000</v>
      </c>
      <c r="AA14" s="1" t="s">
        <v>10</v>
      </c>
      <c r="AB14" s="1"/>
      <c r="AC14" s="1"/>
      <c r="AD14" s="1"/>
    </row>
    <row r="15" spans="1:30" x14ac:dyDescent="0.25">
      <c r="A15" s="19">
        <v>1000</v>
      </c>
      <c r="B15" s="18" t="s">
        <v>17</v>
      </c>
      <c r="C15" s="1" t="s">
        <v>11</v>
      </c>
      <c r="D15" s="15">
        <f>3*A15</f>
        <v>3000</v>
      </c>
      <c r="E15" s="1" t="s">
        <v>10</v>
      </c>
      <c r="F15" s="1"/>
      <c r="G15" s="1"/>
      <c r="H15" s="1"/>
      <c r="I15" s="2"/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2"/>
      <c r="U15" s="15">
        <f t="shared" si="0"/>
        <v>1000</v>
      </c>
      <c r="V15" s="17" t="s">
        <v>1</v>
      </c>
      <c r="W15" s="15">
        <f t="shared" si="1"/>
        <v>1000</v>
      </c>
      <c r="X15" s="16" t="str">
        <f t="shared" si="2"/>
        <v>Archers</v>
      </c>
      <c r="Y15" s="1" t="s">
        <v>11</v>
      </c>
      <c r="Z15" s="15">
        <f>3*W15</f>
        <v>3000</v>
      </c>
      <c r="AA15" s="1" t="s">
        <v>10</v>
      </c>
      <c r="AB15" s="1"/>
      <c r="AC15" s="1"/>
      <c r="AD15" s="1"/>
    </row>
    <row r="16" spans="1:30" x14ac:dyDescent="0.25">
      <c r="A16" s="19">
        <v>10000</v>
      </c>
      <c r="B16" s="18" t="s">
        <v>16</v>
      </c>
      <c r="C16" s="1" t="s">
        <v>11</v>
      </c>
      <c r="D16" s="15">
        <f>IF(K$2="Mer",2*A16,6*A16)</f>
        <v>60000</v>
      </c>
      <c r="E16" s="1" t="s">
        <v>141</v>
      </c>
      <c r="G16" s="1"/>
      <c r="H16" s="1"/>
      <c r="I16" s="2"/>
      <c r="J16" s="7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2"/>
      <c r="U16" s="15">
        <f t="shared" si="0"/>
        <v>10000</v>
      </c>
      <c r="V16" s="17" t="s">
        <v>1</v>
      </c>
      <c r="W16" s="15">
        <f>ROUND(U16*(1-AA$10/100),0)</f>
        <v>10000</v>
      </c>
      <c r="X16" s="16" t="str">
        <f t="shared" si="2"/>
        <v>Cavaliers</v>
      </c>
      <c r="Y16" s="1" t="s">
        <v>11</v>
      </c>
      <c r="Z16" s="15">
        <f>4*W16</f>
        <v>40000</v>
      </c>
      <c r="AA16" s="1" t="s">
        <v>13</v>
      </c>
      <c r="AB16" s="15">
        <f>2*W16</f>
        <v>20000</v>
      </c>
      <c r="AC16" s="1" t="s">
        <v>4</v>
      </c>
      <c r="AD16" s="1"/>
    </row>
    <row r="17" spans="1:30" x14ac:dyDescent="0.25">
      <c r="A17" s="19">
        <v>10000</v>
      </c>
      <c r="B17" s="18" t="s">
        <v>15</v>
      </c>
      <c r="C17" s="1" t="s">
        <v>11</v>
      </c>
      <c r="D17" s="15">
        <f>1*A17</f>
        <v>10000</v>
      </c>
      <c r="E17" s="1" t="s">
        <v>13</v>
      </c>
      <c r="F17" s="15">
        <f>3*A17</f>
        <v>30000</v>
      </c>
      <c r="G17" s="1" t="s">
        <v>4</v>
      </c>
      <c r="H17" s="1"/>
      <c r="I17" s="2"/>
      <c r="J17" s="7" t="s">
        <v>43</v>
      </c>
      <c r="K17" s="1"/>
      <c r="L17" s="1"/>
      <c r="M17" s="1"/>
      <c r="N17" s="1"/>
      <c r="O17" s="1"/>
      <c r="P17" s="1"/>
      <c r="Q17" s="1"/>
      <c r="R17" s="1"/>
      <c r="S17" s="1"/>
      <c r="T17" s="2"/>
      <c r="U17" s="15">
        <f t="shared" si="0"/>
        <v>10000</v>
      </c>
      <c r="V17" s="17" t="s">
        <v>1</v>
      </c>
      <c r="W17" s="15">
        <f>ROUND(U17*(1-X$10/100),0)</f>
        <v>10000</v>
      </c>
      <c r="X17" s="16" t="str">
        <f t="shared" si="2"/>
        <v>Mineurs</v>
      </c>
      <c r="Y17" s="1" t="s">
        <v>11</v>
      </c>
      <c r="Z17" s="15">
        <f>1*W17</f>
        <v>10000</v>
      </c>
      <c r="AA17" s="1" t="s">
        <v>13</v>
      </c>
      <c r="AB17" s="15">
        <f>3*W17</f>
        <v>30000</v>
      </c>
      <c r="AC17" s="1" t="s">
        <v>4</v>
      </c>
      <c r="AD17" s="1"/>
    </row>
    <row r="18" spans="1:30" x14ac:dyDescent="0.25">
      <c r="A18" s="19">
        <v>1000</v>
      </c>
      <c r="B18" s="18" t="s">
        <v>98</v>
      </c>
      <c r="C18" s="1" t="s">
        <v>11</v>
      </c>
      <c r="D18" s="15">
        <f>15*A18</f>
        <v>15000</v>
      </c>
      <c r="E18" s="1" t="s">
        <v>13</v>
      </c>
      <c r="F18" s="15">
        <f>50*A18</f>
        <v>50000</v>
      </c>
      <c r="G18" s="1" t="s">
        <v>4</v>
      </c>
      <c r="H18" s="1"/>
      <c r="I18" s="2"/>
      <c r="J18" s="7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2"/>
      <c r="U18" s="15">
        <f t="shared" si="0"/>
        <v>1000</v>
      </c>
      <c r="V18" s="17" t="s">
        <v>1</v>
      </c>
      <c r="W18" s="15">
        <f>ROUND(U18*(1-AA$11/100),0)</f>
        <v>1000</v>
      </c>
      <c r="X18" s="16" t="str">
        <f t="shared" si="2"/>
        <v>Engins de Guerre</v>
      </c>
      <c r="Y18" s="1" t="s">
        <v>11</v>
      </c>
      <c r="Z18" s="15">
        <f>15*W18</f>
        <v>15000</v>
      </c>
      <c r="AA18" s="1" t="s">
        <v>13</v>
      </c>
      <c r="AB18" s="15">
        <f>50*W18</f>
        <v>50000</v>
      </c>
      <c r="AC18" s="1" t="s">
        <v>4</v>
      </c>
      <c r="AD18" s="1"/>
    </row>
    <row r="19" spans="1:30" x14ac:dyDescent="0.25">
      <c r="A19" s="19"/>
      <c r="B19" s="18" t="s">
        <v>114</v>
      </c>
      <c r="C19" s="1" t="s">
        <v>11</v>
      </c>
      <c r="D19" s="15">
        <f>10*A19</f>
        <v>0</v>
      </c>
      <c r="E19" s="1" t="s">
        <v>10</v>
      </c>
      <c r="F19" s="1"/>
      <c r="G19" s="1"/>
      <c r="H19" s="1"/>
      <c r="I19" s="2"/>
      <c r="J19" s="7" t="s">
        <v>41</v>
      </c>
      <c r="K19" s="1"/>
      <c r="L19" s="1"/>
      <c r="M19" s="1"/>
      <c r="N19" s="1"/>
      <c r="O19" s="1"/>
      <c r="P19" s="1"/>
      <c r="Q19" s="1"/>
      <c r="R19" s="1"/>
      <c r="S19" s="1"/>
      <c r="T19" s="2"/>
      <c r="U19" s="15">
        <f t="shared" si="0"/>
        <v>0</v>
      </c>
      <c r="V19" s="17" t="s">
        <v>1</v>
      </c>
      <c r="W19" s="15">
        <f t="shared" si="1"/>
        <v>0</v>
      </c>
      <c r="X19" s="16" t="str">
        <f t="shared" si="2"/>
        <v>Légionnaires</v>
      </c>
      <c r="Y19" s="1" t="s">
        <v>11</v>
      </c>
      <c r="Z19" s="15">
        <f>10*W19</f>
        <v>0</v>
      </c>
      <c r="AA19" s="1" t="s">
        <v>10</v>
      </c>
      <c r="AB19" s="1"/>
      <c r="AC19" s="1"/>
      <c r="AD19" s="1"/>
    </row>
    <row r="20" spans="1:30" x14ac:dyDescent="0.25">
      <c r="A20" s="8" t="s">
        <v>140</v>
      </c>
      <c r="B20" s="13"/>
      <c r="C20" s="8"/>
      <c r="D20" s="10">
        <f>D14+D15+D16+D17+D18+D19</f>
        <v>100000</v>
      </c>
      <c r="E20" s="8" t="s">
        <v>5</v>
      </c>
      <c r="F20" s="10">
        <f>D14+D15+D16+F17+F18+D19</f>
        <v>155000</v>
      </c>
      <c r="G20" s="8" t="s">
        <v>4</v>
      </c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8" t="s">
        <v>9</v>
      </c>
      <c r="V20" s="7"/>
      <c r="W20" s="1"/>
      <c r="X20" s="10">
        <f>D20</f>
        <v>100000</v>
      </c>
      <c r="Y20" s="11" t="s">
        <v>1</v>
      </c>
      <c r="Z20" s="10">
        <f>Z14+Z15+Z16+Z17+Z18+Z19</f>
        <v>80000</v>
      </c>
      <c r="AA20" s="8" t="s">
        <v>2</v>
      </c>
      <c r="AB20" s="1"/>
      <c r="AC20" s="1"/>
      <c r="AD20" s="1"/>
    </row>
    <row r="21" spans="1:30" x14ac:dyDescent="0.25">
      <c r="A21" s="8"/>
      <c r="B21" s="13"/>
      <c r="C21" s="8"/>
      <c r="E21" s="8"/>
      <c r="F21" s="12"/>
      <c r="G21" s="8"/>
      <c r="H21" s="1"/>
      <c r="I21" s="2"/>
      <c r="J21" s="1" t="s">
        <v>40</v>
      </c>
      <c r="K21" s="1"/>
      <c r="L21" s="1"/>
      <c r="M21" s="1"/>
      <c r="N21" s="1"/>
      <c r="O21" s="1"/>
      <c r="P21" s="1"/>
      <c r="Q21" s="1"/>
      <c r="R21" s="1"/>
      <c r="S21" s="1"/>
      <c r="T21" s="2"/>
      <c r="U21" s="8" t="s">
        <v>8</v>
      </c>
      <c r="V21" s="7"/>
      <c r="W21" s="1"/>
      <c r="X21" s="10">
        <f>F20</f>
        <v>155000</v>
      </c>
      <c r="Y21" s="11" t="s">
        <v>1</v>
      </c>
      <c r="Z21" s="10">
        <f>Z14+Z15+AB16+AB17+AB18+Z19</f>
        <v>115000</v>
      </c>
      <c r="AA21" s="8" t="s">
        <v>0</v>
      </c>
      <c r="AB21" s="1"/>
      <c r="AC21" s="1"/>
      <c r="AD21" s="1"/>
    </row>
    <row r="22" spans="1:30" x14ac:dyDescent="0.25">
      <c r="A22" s="1" t="s">
        <v>7</v>
      </c>
      <c r="B22" s="1"/>
      <c r="C22" s="1"/>
      <c r="D22" s="9">
        <f>100*D23/F51</f>
        <v>80</v>
      </c>
      <c r="E22" s="8" t="s">
        <v>6</v>
      </c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1"/>
      <c r="V22" s="7"/>
      <c r="W22" s="1" t="s">
        <v>7</v>
      </c>
      <c r="X22" s="1"/>
      <c r="Y22" s="1"/>
      <c r="Z22" s="9">
        <f>100*Z20/Z50</f>
        <v>80</v>
      </c>
      <c r="AA22" s="8" t="s">
        <v>6</v>
      </c>
      <c r="AB22" s="1"/>
      <c r="AC22" s="1"/>
      <c r="AD22" s="1"/>
    </row>
    <row r="23" spans="1:30" ht="15.75" thickBot="1" x14ac:dyDescent="0.3">
      <c r="A23" s="1"/>
      <c r="B23" s="1"/>
      <c r="C23" s="1"/>
      <c r="D23" s="40">
        <f>D14+D15+A16*4+D17+D18+D19</f>
        <v>80000</v>
      </c>
      <c r="E23" s="8"/>
      <c r="F23" s="1"/>
      <c r="G23" s="1"/>
      <c r="H23" s="1"/>
      <c r="I23" s="2"/>
      <c r="J23" s="1" t="s">
        <v>39</v>
      </c>
      <c r="K23" s="1"/>
      <c r="L23" s="1"/>
      <c r="M23" s="1"/>
      <c r="N23" s="1"/>
      <c r="O23" s="1"/>
      <c r="P23" s="1"/>
      <c r="Q23" s="1"/>
      <c r="R23" s="1"/>
      <c r="S23" s="1"/>
      <c r="T23" s="2"/>
      <c r="U23" s="1"/>
      <c r="V23" s="7"/>
      <c r="W23" s="1"/>
      <c r="X23" s="1"/>
      <c r="Y23" s="1"/>
      <c r="Z23" s="25"/>
      <c r="AA23" s="8"/>
      <c r="AB23" s="1"/>
      <c r="AC23" s="1"/>
      <c r="AD23" s="1"/>
    </row>
    <row r="24" spans="1:30" x14ac:dyDescent="0.25">
      <c r="A24" s="22"/>
      <c r="B24" s="22"/>
      <c r="C24" s="22"/>
      <c r="D24" s="24"/>
      <c r="E24" s="23"/>
      <c r="F24" s="22"/>
      <c r="G24" s="22"/>
      <c r="H24" s="2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2"/>
      <c r="V24" s="22"/>
      <c r="W24" s="22"/>
      <c r="X24" s="22"/>
      <c r="Y24" s="22"/>
      <c r="Z24" s="24"/>
      <c r="AA24" s="23"/>
      <c r="AB24" s="22"/>
      <c r="AC24" s="22"/>
      <c r="AD24" s="22"/>
    </row>
    <row r="25" spans="1:30" x14ac:dyDescent="0.25">
      <c r="A25" s="21" t="s">
        <v>21</v>
      </c>
      <c r="B25" s="20"/>
      <c r="C25" s="1"/>
      <c r="D25" s="1"/>
      <c r="E25" s="1"/>
      <c r="F25" s="1"/>
      <c r="G25" s="1"/>
      <c r="H25" s="1"/>
      <c r="I25" s="2"/>
      <c r="J25" s="1" t="s">
        <v>38</v>
      </c>
      <c r="K25" s="1"/>
      <c r="L25" s="1"/>
      <c r="M25" s="1"/>
      <c r="N25" s="1"/>
      <c r="O25" s="1"/>
      <c r="P25" s="1"/>
      <c r="Q25" s="1"/>
      <c r="R25" s="1"/>
      <c r="S25" s="1"/>
      <c r="T25" s="2"/>
      <c r="U25" s="15" t="str">
        <f t="shared" ref="U25:U32" si="3">A25</f>
        <v># Nom de l'Armée #2</v>
      </c>
      <c r="V25" s="20"/>
      <c r="W25" s="1"/>
      <c r="X25" s="20"/>
      <c r="Y25" s="1"/>
      <c r="Z25" s="1"/>
      <c r="AA25" s="1"/>
      <c r="AB25" s="1"/>
      <c r="AC25" s="1"/>
      <c r="AD25" s="1"/>
    </row>
    <row r="26" spans="1:30" x14ac:dyDescent="0.25">
      <c r="A26" s="18" t="s">
        <v>19</v>
      </c>
      <c r="B26" s="1"/>
      <c r="C26" s="1"/>
      <c r="D26" s="1"/>
      <c r="E26" s="1"/>
      <c r="F26" s="1"/>
      <c r="G26" s="1"/>
      <c r="H26" s="1"/>
      <c r="I26" s="2"/>
      <c r="J26" s="1" t="s">
        <v>37</v>
      </c>
      <c r="K26" s="1"/>
      <c r="L26" s="1"/>
      <c r="M26" s="1"/>
      <c r="N26" s="1"/>
      <c r="O26" s="1"/>
      <c r="P26" s="1"/>
      <c r="Q26" s="1"/>
      <c r="R26" s="1"/>
      <c r="S26" s="1"/>
      <c r="T26" s="2"/>
      <c r="U26" s="15" t="str">
        <f t="shared" si="3"/>
        <v>(Notifier la présence éventuelle du Roi ou du Vassal ici)</v>
      </c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9">
        <v>10000</v>
      </c>
      <c r="B27" s="18" t="s">
        <v>18</v>
      </c>
      <c r="C27" s="1" t="s">
        <v>11</v>
      </c>
      <c r="D27" s="15">
        <f>2*A27</f>
        <v>20000</v>
      </c>
      <c r="E27" s="1" t="s">
        <v>10</v>
      </c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5">
        <f t="shared" si="3"/>
        <v>10000</v>
      </c>
      <c r="V27" s="17" t="s">
        <v>1</v>
      </c>
      <c r="W27" s="15">
        <f t="shared" ref="W27:W32" si="4">ROUND(U27*(1-X$10/100),0)</f>
        <v>10000</v>
      </c>
      <c r="X27" s="16" t="str">
        <f t="shared" ref="X27:X32" si="5">B27</f>
        <v>Fantassins</v>
      </c>
      <c r="Y27" s="1" t="s">
        <v>11</v>
      </c>
      <c r="Z27" s="15">
        <f>2*W27</f>
        <v>20000</v>
      </c>
      <c r="AA27" s="1" t="s">
        <v>10</v>
      </c>
      <c r="AB27" s="1"/>
      <c r="AC27" s="1"/>
      <c r="AD27" s="1"/>
    </row>
    <row r="28" spans="1:30" x14ac:dyDescent="0.25">
      <c r="A28" s="19"/>
      <c r="B28" s="18" t="s">
        <v>17</v>
      </c>
      <c r="C28" s="1" t="s">
        <v>11</v>
      </c>
      <c r="D28" s="15">
        <f>3*A28</f>
        <v>0</v>
      </c>
      <c r="E28" s="1" t="s">
        <v>10</v>
      </c>
      <c r="F28" s="1"/>
      <c r="G28" s="1"/>
      <c r="H28" s="1"/>
      <c r="I28" s="2"/>
      <c r="J28" s="1" t="s">
        <v>36</v>
      </c>
      <c r="K28" s="1"/>
      <c r="L28" s="1"/>
      <c r="M28" s="1"/>
      <c r="N28" s="1"/>
      <c r="O28" s="1"/>
      <c r="P28" s="1"/>
      <c r="Q28" s="1"/>
      <c r="R28" s="1"/>
      <c r="S28" s="1"/>
      <c r="T28" s="2"/>
      <c r="U28" s="15">
        <f t="shared" si="3"/>
        <v>0</v>
      </c>
      <c r="V28" s="17" t="s">
        <v>1</v>
      </c>
      <c r="W28" s="15">
        <f t="shared" si="4"/>
        <v>0</v>
      </c>
      <c r="X28" s="16" t="str">
        <f t="shared" si="5"/>
        <v>Archers</v>
      </c>
      <c r="Y28" s="1" t="s">
        <v>11</v>
      </c>
      <c r="Z28" s="15">
        <f>3*W28</f>
        <v>0</v>
      </c>
      <c r="AA28" s="1" t="s">
        <v>10</v>
      </c>
      <c r="AB28" s="1"/>
      <c r="AC28" s="1"/>
      <c r="AD28" s="1"/>
    </row>
    <row r="29" spans="1:30" x14ac:dyDescent="0.25">
      <c r="A29" s="19"/>
      <c r="B29" s="18" t="s">
        <v>16</v>
      </c>
      <c r="C29" s="1" t="s">
        <v>11</v>
      </c>
      <c r="D29" s="15">
        <f>IF(K$2="Mer",2*A29,6*A29)</f>
        <v>0</v>
      </c>
      <c r="E29" s="1" t="s">
        <v>141</v>
      </c>
      <c r="G29" s="1"/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5">
        <f t="shared" si="3"/>
        <v>0</v>
      </c>
      <c r="V29" s="17" t="s">
        <v>1</v>
      </c>
      <c r="W29" s="15">
        <f>ROUND(U29*(1-AA$10/100),0)</f>
        <v>0</v>
      </c>
      <c r="X29" s="16" t="str">
        <f t="shared" si="5"/>
        <v>Cavaliers</v>
      </c>
      <c r="Y29" s="1" t="s">
        <v>11</v>
      </c>
      <c r="Z29" s="15">
        <f>4*W29</f>
        <v>0</v>
      </c>
      <c r="AA29" s="1" t="s">
        <v>13</v>
      </c>
      <c r="AB29" s="15">
        <f>2*W29</f>
        <v>0</v>
      </c>
      <c r="AC29" s="1" t="s">
        <v>4</v>
      </c>
      <c r="AD29" s="1"/>
    </row>
    <row r="30" spans="1:30" x14ac:dyDescent="0.25">
      <c r="A30" s="19"/>
      <c r="B30" s="18" t="s">
        <v>15</v>
      </c>
      <c r="C30" s="1" t="s">
        <v>11</v>
      </c>
      <c r="D30" s="15">
        <f>1*A30</f>
        <v>0</v>
      </c>
      <c r="E30" s="1" t="s">
        <v>13</v>
      </c>
      <c r="F30" s="15">
        <f>3*A30</f>
        <v>0</v>
      </c>
      <c r="G30" s="1" t="s">
        <v>4</v>
      </c>
      <c r="H30" s="1"/>
      <c r="I30" s="2"/>
      <c r="J30" s="1" t="s">
        <v>35</v>
      </c>
      <c r="K30" s="1"/>
      <c r="L30" s="1"/>
      <c r="M30" s="1"/>
      <c r="N30" s="1"/>
      <c r="O30" s="1"/>
      <c r="P30" s="1"/>
      <c r="Q30" s="1"/>
      <c r="R30" s="31" t="s">
        <v>34</v>
      </c>
      <c r="S30" s="29">
        <v>8</v>
      </c>
      <c r="T30" s="2"/>
      <c r="U30" s="15">
        <f t="shared" si="3"/>
        <v>0</v>
      </c>
      <c r="V30" s="17" t="s">
        <v>1</v>
      </c>
      <c r="W30" s="15">
        <f>ROUND(U30*(1-X$10/100),0)</f>
        <v>0</v>
      </c>
      <c r="X30" s="16" t="str">
        <f t="shared" si="5"/>
        <v>Mineurs</v>
      </c>
      <c r="Y30" s="1" t="s">
        <v>11</v>
      </c>
      <c r="Z30" s="15">
        <f>1*W30</f>
        <v>0</v>
      </c>
      <c r="AA30" s="1" t="s">
        <v>13</v>
      </c>
      <c r="AB30" s="15">
        <f>3*W30</f>
        <v>0</v>
      </c>
      <c r="AC30" s="1" t="s">
        <v>4</v>
      </c>
      <c r="AD30" s="1"/>
    </row>
    <row r="31" spans="1:30" x14ac:dyDescent="0.25">
      <c r="A31" s="19"/>
      <c r="B31" s="18" t="s">
        <v>14</v>
      </c>
      <c r="C31" s="1" t="s">
        <v>11</v>
      </c>
      <c r="D31" s="15">
        <f>15*A31</f>
        <v>0</v>
      </c>
      <c r="E31" s="1" t="s">
        <v>13</v>
      </c>
      <c r="F31" s="15">
        <f>50*A31</f>
        <v>0</v>
      </c>
      <c r="G31" s="1" t="s">
        <v>4</v>
      </c>
      <c r="H31" s="1"/>
      <c r="I31" s="2"/>
      <c r="J31" s="1" t="s">
        <v>33</v>
      </c>
      <c r="K31" s="1"/>
      <c r="L31" s="1"/>
      <c r="M31" s="1"/>
      <c r="N31" s="1"/>
      <c r="O31" s="1"/>
      <c r="P31" s="1"/>
      <c r="Q31" s="1"/>
      <c r="R31" s="1"/>
      <c r="S31" s="29">
        <v>1</v>
      </c>
      <c r="T31" s="2"/>
      <c r="U31" s="15">
        <f t="shared" si="3"/>
        <v>0</v>
      </c>
      <c r="V31" s="17" t="s">
        <v>1</v>
      </c>
      <c r="W31" s="15">
        <f>ROUND(U31*(1-AA$11/100),0)</f>
        <v>0</v>
      </c>
      <c r="X31" s="16" t="str">
        <f t="shared" si="5"/>
        <v>Engins de Siège</v>
      </c>
      <c r="Y31" s="1" t="s">
        <v>11</v>
      </c>
      <c r="Z31" s="15">
        <f>15*W31</f>
        <v>0</v>
      </c>
      <c r="AA31" s="1" t="s">
        <v>13</v>
      </c>
      <c r="AB31" s="15">
        <f>50*W31</f>
        <v>0</v>
      </c>
      <c r="AC31" s="1" t="s">
        <v>4</v>
      </c>
      <c r="AD31" s="1"/>
    </row>
    <row r="32" spans="1:30" x14ac:dyDescent="0.25">
      <c r="A32" s="19"/>
      <c r="B32" s="18" t="s">
        <v>12</v>
      </c>
      <c r="C32" s="1" t="s">
        <v>11</v>
      </c>
      <c r="D32" s="15">
        <f>10*A32</f>
        <v>0</v>
      </c>
      <c r="E32" s="1" t="s">
        <v>10</v>
      </c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5">
        <f t="shared" si="3"/>
        <v>0</v>
      </c>
      <c r="V32" s="17" t="s">
        <v>1</v>
      </c>
      <c r="W32" s="15">
        <f t="shared" si="4"/>
        <v>0</v>
      </c>
      <c r="X32" s="16" t="str">
        <f t="shared" si="5"/>
        <v>Troupes d'Élite</v>
      </c>
      <c r="Y32" s="1" t="s">
        <v>11</v>
      </c>
      <c r="Z32" s="15">
        <f>10*W32</f>
        <v>0</v>
      </c>
      <c r="AA32" s="1" t="s">
        <v>10</v>
      </c>
      <c r="AB32" s="1"/>
      <c r="AC32" s="1"/>
      <c r="AD32" s="1"/>
    </row>
    <row r="33" spans="1:30" x14ac:dyDescent="0.25">
      <c r="A33" s="8" t="s">
        <v>140</v>
      </c>
      <c r="B33" s="13"/>
      <c r="C33" s="8"/>
      <c r="D33" s="10">
        <f>D27+D28+D29+D30+D31+D32</f>
        <v>20000</v>
      </c>
      <c r="E33" s="8" t="s">
        <v>5</v>
      </c>
      <c r="F33" s="10">
        <f>D27+D28+D29+F30+F31+D32</f>
        <v>20000</v>
      </c>
      <c r="G33" s="8" t="s">
        <v>4</v>
      </c>
      <c r="H33" s="1"/>
      <c r="I33" s="2"/>
      <c r="J33" s="30"/>
      <c r="K33" s="1"/>
      <c r="L33" s="1"/>
      <c r="M33" s="1"/>
      <c r="N33" s="1"/>
      <c r="O33" s="1"/>
      <c r="P33" s="1"/>
      <c r="Q33" s="1"/>
      <c r="R33" s="1"/>
      <c r="S33" s="1"/>
      <c r="T33" s="2"/>
      <c r="U33" s="8" t="s">
        <v>9</v>
      </c>
      <c r="V33" s="7"/>
      <c r="W33" s="1"/>
      <c r="X33" s="10">
        <f>D33</f>
        <v>20000</v>
      </c>
      <c r="Y33" s="11" t="s">
        <v>1</v>
      </c>
      <c r="Z33" s="10">
        <f>Z27+Z28+Z29+Z30+Z31+Z32</f>
        <v>20000</v>
      </c>
      <c r="AA33" s="8" t="s">
        <v>2</v>
      </c>
      <c r="AB33" s="1"/>
      <c r="AC33" s="1"/>
      <c r="AD33" s="1"/>
    </row>
    <row r="34" spans="1:30" x14ac:dyDescent="0.25">
      <c r="A34" s="8"/>
      <c r="B34" s="13"/>
      <c r="C34" s="8"/>
      <c r="D34" s="12"/>
      <c r="E34" s="8"/>
      <c r="F34" s="12"/>
      <c r="G34" s="8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8" t="s">
        <v>8</v>
      </c>
      <c r="V34" s="7"/>
      <c r="W34" s="1"/>
      <c r="X34" s="10">
        <f>F33</f>
        <v>20000</v>
      </c>
      <c r="Y34" s="11" t="s">
        <v>1</v>
      </c>
      <c r="Z34" s="10">
        <f>Z27+Z28+AB29+AB30+AB31+Z32</f>
        <v>20000</v>
      </c>
      <c r="AA34" s="8" t="s">
        <v>0</v>
      </c>
      <c r="AB34" s="1"/>
      <c r="AC34" s="1"/>
      <c r="AD34" s="1"/>
    </row>
    <row r="35" spans="1:30" x14ac:dyDescent="0.25">
      <c r="A35" s="1" t="s">
        <v>7</v>
      </c>
      <c r="B35" s="1"/>
      <c r="C35" s="1"/>
      <c r="D35" s="9">
        <f>100*D36/F51</f>
        <v>20</v>
      </c>
      <c r="E35" s="8" t="s">
        <v>6</v>
      </c>
      <c r="F35" s="1"/>
      <c r="G35" s="1"/>
      <c r="H35" s="1"/>
      <c r="I35" s="2"/>
      <c r="J35" s="1" t="s">
        <v>30</v>
      </c>
      <c r="K35" s="16" t="str">
        <f>IF(OR(S30="Égalité",S30&lt;=3,S30=""),"4 D6",IF(AND(S30&lt;=7,S31=1),"2 D6",IF(AND(S30&lt;=12,S31=1),"1 D6",IF(AND(S30&lt;=18,S31=1),"1 D3",IF(AND(S30&gt;=19,S31=1),"Aucun dé",IF(AND(S30&lt;=7,S31=2),"6 D6",IF(AND(S30&lt;=12,S31=2),"8 D6",IF(AND(S30&lt;=18,S31=2),"10 D6",IF(AND(19&lt;=S30,S31=2),"12 D6","Erreur !")))))))))</f>
        <v>1 D6</v>
      </c>
      <c r="L35" s="1" t="s">
        <v>31</v>
      </c>
      <c r="M35" s="1"/>
      <c r="N35" s="1"/>
      <c r="O35" s="1"/>
      <c r="P35" s="1"/>
      <c r="Q35" s="1"/>
      <c r="R35" s="1"/>
      <c r="S35" s="1"/>
      <c r="T35" s="2"/>
      <c r="U35" s="1"/>
      <c r="V35" s="7"/>
      <c r="W35" s="1" t="s">
        <v>7</v>
      </c>
      <c r="X35" s="1"/>
      <c r="Y35" s="1"/>
      <c r="Z35" s="9">
        <f>100*Z33/Z50</f>
        <v>20</v>
      </c>
      <c r="AA35" s="8" t="s">
        <v>6</v>
      </c>
      <c r="AB35" s="1"/>
      <c r="AC35" s="1"/>
      <c r="AD35" s="1"/>
    </row>
    <row r="36" spans="1:30" ht="15.75" thickBot="1" x14ac:dyDescent="0.3">
      <c r="A36" s="1"/>
      <c r="B36" s="1"/>
      <c r="C36" s="1"/>
      <c r="D36" s="40">
        <f>D27+D28+A29*4+D30+D31+D32</f>
        <v>20000</v>
      </c>
      <c r="E36" s="8"/>
      <c r="F36" s="1"/>
      <c r="G36" s="1"/>
      <c r="H36" s="1"/>
      <c r="I36" s="2"/>
      <c r="J36" s="1" t="s">
        <v>30</v>
      </c>
      <c r="K36" s="16" t="str">
        <f>IF(OR(S30="Égalité",S30&lt;=3,S30=""),"4 D6",IF(AND(S30&lt;=7,S31=2),"2 D6",IF(AND(S30&lt;=12,S31=2),"1 D6",IF(AND(S30&lt;=18,S31=2),"1 D3",IF(AND(S30&gt;=19,S31=2),"Aucun dé",IF(AND(S30&lt;=7,S31=1),"6 D6",IF(AND(S30&lt;=12,S31=1),"8 D6",IF(AND(S30&lt;=18,S31=1),"10 D6",IF(AND(19&lt;=S30,S31=1),"12 D6","Erreur !")))))))))</f>
        <v>8 D6</v>
      </c>
      <c r="L36" s="1" t="s">
        <v>29</v>
      </c>
      <c r="M36" s="1"/>
      <c r="N36" s="1"/>
      <c r="O36" s="1"/>
      <c r="P36" s="1"/>
      <c r="Q36" s="1"/>
      <c r="R36" s="1"/>
      <c r="S36" s="1"/>
      <c r="T36" s="2"/>
      <c r="U36" s="1"/>
      <c r="V36" s="1"/>
      <c r="W36" s="1"/>
      <c r="X36" s="1"/>
      <c r="Y36" s="1"/>
      <c r="Z36" s="25"/>
      <c r="AA36" s="8"/>
      <c r="AB36" s="1"/>
      <c r="AC36" s="1"/>
      <c r="AD36" s="1"/>
    </row>
    <row r="37" spans="1:30" x14ac:dyDescent="0.25">
      <c r="A37" s="22"/>
      <c r="B37" s="22"/>
      <c r="C37" s="22"/>
      <c r="D37" s="24"/>
      <c r="E37" s="23"/>
      <c r="F37" s="22"/>
      <c r="G37" s="22"/>
      <c r="H37" s="2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U37" s="22"/>
      <c r="V37" s="22"/>
      <c r="W37" s="22"/>
      <c r="X37" s="22"/>
      <c r="Y37" s="22"/>
      <c r="Z37" s="24"/>
      <c r="AA37" s="23"/>
      <c r="AB37" s="22"/>
      <c r="AC37" s="22"/>
      <c r="AD37" s="22"/>
    </row>
    <row r="38" spans="1:30" x14ac:dyDescent="0.25">
      <c r="A38" s="21" t="s">
        <v>20</v>
      </c>
      <c r="B38" s="20"/>
      <c r="C38" s="1"/>
      <c r="D38" s="1"/>
      <c r="E38" s="1"/>
      <c r="F38" s="1"/>
      <c r="G38" s="1"/>
      <c r="H38" s="1"/>
      <c r="I38" s="2"/>
      <c r="J38" s="1" t="s">
        <v>28</v>
      </c>
      <c r="K38" s="1"/>
      <c r="L38" s="1"/>
      <c r="M38" s="1"/>
      <c r="N38" s="1"/>
      <c r="O38" s="1"/>
      <c r="P38" s="1"/>
      <c r="Q38" s="1"/>
      <c r="R38" s="1"/>
      <c r="S38" s="29">
        <v>4</v>
      </c>
      <c r="T38" s="2"/>
      <c r="U38" s="15" t="str">
        <f t="shared" ref="U38:U45" si="6">A38</f>
        <v># Nom de l'Armée #3</v>
      </c>
      <c r="V38" s="20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8" t="s">
        <v>19</v>
      </c>
      <c r="B39" s="1"/>
      <c r="C39" s="1"/>
      <c r="D39" s="1"/>
      <c r="E39" s="1"/>
      <c r="F39" s="1"/>
      <c r="G39" s="1"/>
      <c r="H39" s="1"/>
      <c r="I39" s="2"/>
      <c r="J39" s="1" t="s">
        <v>27</v>
      </c>
      <c r="K39" s="1"/>
      <c r="L39" s="1"/>
      <c r="M39" s="1"/>
      <c r="N39" s="1"/>
      <c r="O39" s="1"/>
      <c r="P39" s="1"/>
      <c r="Q39" s="1"/>
      <c r="R39" s="1"/>
      <c r="S39" s="29">
        <v>22</v>
      </c>
      <c r="T39" s="2"/>
      <c r="U39" s="15" t="str">
        <f t="shared" si="6"/>
        <v>(Notifier la présence éventuelle du Roi ou du Vassal ici)</v>
      </c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9"/>
      <c r="B40" s="18" t="s">
        <v>18</v>
      </c>
      <c r="C40" s="1" t="s">
        <v>11</v>
      </c>
      <c r="D40" s="15">
        <f>2*A40</f>
        <v>0</v>
      </c>
      <c r="E40" s="1" t="s">
        <v>10</v>
      </c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5">
        <f t="shared" si="6"/>
        <v>0</v>
      </c>
      <c r="V40" s="17" t="s">
        <v>1</v>
      </c>
      <c r="W40" s="15">
        <f t="shared" ref="W40:W45" si="7">ROUND(U40*(1-X$10/100),0)</f>
        <v>0</v>
      </c>
      <c r="X40" s="16" t="str">
        <f t="shared" ref="X40:X45" si="8">B40</f>
        <v>Fantassins</v>
      </c>
      <c r="Y40" s="1" t="s">
        <v>11</v>
      </c>
      <c r="Z40" s="15">
        <f>2*W40</f>
        <v>0</v>
      </c>
      <c r="AA40" s="1" t="s">
        <v>10</v>
      </c>
      <c r="AB40" s="1"/>
      <c r="AC40" s="1"/>
      <c r="AD40" s="1"/>
    </row>
    <row r="41" spans="1:30" x14ac:dyDescent="0.25">
      <c r="A41" s="19"/>
      <c r="B41" s="18" t="s">
        <v>17</v>
      </c>
      <c r="C41" s="1" t="s">
        <v>11</v>
      </c>
      <c r="D41" s="15">
        <f>3*A41</f>
        <v>0</v>
      </c>
      <c r="E41" s="1" t="s">
        <v>10</v>
      </c>
      <c r="F41" s="1"/>
      <c r="G41" s="1"/>
      <c r="H41" s="1"/>
      <c r="I41" s="2"/>
      <c r="J41" s="1" t="s">
        <v>144</v>
      </c>
      <c r="K41" s="1"/>
      <c r="L41" s="1"/>
      <c r="M41" s="1"/>
      <c r="N41" s="28">
        <f>IF(OR(S30="Égalité",S30&lt;=1,S30=""),10+S38,IF(AND(S30&lt;=3,S31=1),5+S38,IF(AND(S30&lt;=5,S31=1),8+S38,IF(AND(S30&lt;=7,S31=1),4+S38,IF(AND(S30&lt;=9,S31=1),4+S38,IF(AND(S30&lt;=11,S31=1),2+S38,IF(AND(S30=12,S31=1),1+S38,IF(AND(S30&lt;=14,S31=1),1+S38,IF(AND(S30&lt;=16,S31=1),S38,IF(AND(S30&lt;=18,S31=1),S38/2,IF(AND(S30&gt;=19,S31=1),0,IF(AND(S30&lt;=3,S31=2),15+S38,IF(AND(S30&lt;=5,S31=2),14+S38,IF(AND(S30&lt;=7,S31=2),20+S38,IF(AND(S30&lt;=9,S31=2),21+S38,IF(AND(S30&lt;=11,S31=2),30+S38,IF(AND(S30=12,S31=2),35+S38,IF(AND(S30&lt;=14,S31=2),40+S38,IF(AND(S30&lt;=16,S31=2),46+S38,IF(AND(S30&lt;=18,S31=2),55+S38,IF(AND(S30&gt;=19,S31=2),60+S30,"Erreur !")))))))))))))))))))))</f>
        <v>8</v>
      </c>
      <c r="O41" s="1" t="s">
        <v>6</v>
      </c>
      <c r="P41" s="1"/>
      <c r="Q41" s="1" t="s">
        <v>169</v>
      </c>
      <c r="R41" s="1"/>
      <c r="S41" s="1"/>
      <c r="T41" s="2"/>
      <c r="U41" s="15">
        <f t="shared" si="6"/>
        <v>0</v>
      </c>
      <c r="V41" s="17" t="s">
        <v>1</v>
      </c>
      <c r="W41" s="15">
        <f t="shared" si="7"/>
        <v>0</v>
      </c>
      <c r="X41" s="16" t="str">
        <f t="shared" si="8"/>
        <v>Archers</v>
      </c>
      <c r="Y41" s="1" t="s">
        <v>11</v>
      </c>
      <c r="Z41" s="15">
        <f>3*W41</f>
        <v>0</v>
      </c>
      <c r="AA41" s="1" t="s">
        <v>10</v>
      </c>
      <c r="AB41" s="1"/>
      <c r="AC41" s="1"/>
      <c r="AD41" s="1"/>
    </row>
    <row r="42" spans="1:30" x14ac:dyDescent="0.25">
      <c r="A42" s="19"/>
      <c r="B42" s="18" t="s">
        <v>16</v>
      </c>
      <c r="C42" s="1" t="s">
        <v>11</v>
      </c>
      <c r="D42" s="15">
        <f>IF(K$2="Mer",2*A42,6*A42)</f>
        <v>0</v>
      </c>
      <c r="E42" s="1" t="s">
        <v>141</v>
      </c>
      <c r="G42" s="1"/>
      <c r="H42" s="1"/>
      <c r="I42" s="2"/>
      <c r="J42" s="1" t="s">
        <v>156</v>
      </c>
      <c r="K42" s="1"/>
      <c r="L42" s="1"/>
      <c r="M42" s="1"/>
      <c r="N42" s="28">
        <f>IF(OR(S30="Égalité",S30&lt;=1,S30=""),10+S39,IF(AND(S30&lt;=3,S31=2),5+S39,IF(AND(S30&lt;=5,S31=2),8+S39,IF(AND(S30&lt;=7,S31=2),4+S39,IF(AND(S30&lt;=9,S31=2),4+S39,IF(AND(S30&lt;=11,S31=2),2+S39,IF(AND(S30=12,S31=2),1+S39,IF(AND(S30&lt;=14,S31=2),1+S39,IF(AND(S30&lt;=16,S31=2),S39,IF(AND(S30&lt;=18,S31=2),S39/2,IF(AND(S30&gt;=19,S31=2),0,IF(AND(S30&lt;=3,S31=1),15+S39,IF(AND(S30&lt;=5,S31=1),14+S39,IF(AND(S30&lt;=7,S31=1),20+S39,IF(AND(S30&lt;=9,S31=1),21+S39,IF(AND(S30&lt;=11,S31=1),30+S39,IF(AND(S30=12,S31=1),35+S39,IF(AND(S30&lt;=14,S31=1),40+S39,IF(AND(S30&lt;=16,S31=1),46+S39,IF(AND(S30&lt;=18,S31=1),55+S39,IF(AND(S30&gt;=19,S31=1),60+S30,"Erreur !")))))))))))))))))))))</f>
        <v>43</v>
      </c>
      <c r="O42" s="1" t="s">
        <v>6</v>
      </c>
      <c r="P42" s="1"/>
      <c r="Q42" s="1" t="s">
        <v>173</v>
      </c>
      <c r="R42" s="1"/>
      <c r="S42" s="1"/>
      <c r="T42" s="2"/>
      <c r="U42" s="15">
        <f t="shared" si="6"/>
        <v>0</v>
      </c>
      <c r="V42" s="17" t="s">
        <v>1</v>
      </c>
      <c r="W42" s="15">
        <f>ROUND(U42*(1-AA$10/100),0)</f>
        <v>0</v>
      </c>
      <c r="X42" s="16" t="str">
        <f t="shared" si="8"/>
        <v>Cavaliers</v>
      </c>
      <c r="Y42" s="1" t="s">
        <v>11</v>
      </c>
      <c r="Z42" s="15">
        <f>4*W42</f>
        <v>0</v>
      </c>
      <c r="AA42" s="1" t="s">
        <v>13</v>
      </c>
      <c r="AB42" s="15">
        <f>2*W42</f>
        <v>0</v>
      </c>
      <c r="AC42" s="1" t="s">
        <v>4</v>
      </c>
      <c r="AD42" s="1"/>
    </row>
    <row r="43" spans="1:30" x14ac:dyDescent="0.25">
      <c r="A43" s="19"/>
      <c r="B43" s="18" t="s">
        <v>15</v>
      </c>
      <c r="C43" s="1" t="s">
        <v>11</v>
      </c>
      <c r="D43" s="15">
        <f>1*A43</f>
        <v>0</v>
      </c>
      <c r="E43" s="1" t="s">
        <v>13</v>
      </c>
      <c r="F43" s="15">
        <f>3*A43</f>
        <v>0</v>
      </c>
      <c r="G43" s="1" t="s">
        <v>4</v>
      </c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5">
        <f t="shared" si="6"/>
        <v>0</v>
      </c>
      <c r="V43" s="17" t="s">
        <v>1</v>
      </c>
      <c r="W43" s="15">
        <f>ROUND(U43*(1-X$10/100),0)</f>
        <v>0</v>
      </c>
      <c r="X43" s="16" t="str">
        <f t="shared" si="8"/>
        <v>Mineurs</v>
      </c>
      <c r="Y43" s="1" t="s">
        <v>11</v>
      </c>
      <c r="Z43" s="15">
        <f>1*W43</f>
        <v>0</v>
      </c>
      <c r="AA43" s="1" t="s">
        <v>13</v>
      </c>
      <c r="AB43" s="15">
        <f>3*W43</f>
        <v>0</v>
      </c>
      <c r="AC43" s="1" t="s">
        <v>4</v>
      </c>
      <c r="AD43" s="1"/>
    </row>
    <row r="44" spans="1:30" x14ac:dyDescent="0.25">
      <c r="A44" s="19"/>
      <c r="B44" s="18" t="s">
        <v>14</v>
      </c>
      <c r="C44" s="1" t="s">
        <v>11</v>
      </c>
      <c r="D44" s="15">
        <f>15*A44</f>
        <v>0</v>
      </c>
      <c r="E44" s="1" t="s">
        <v>13</v>
      </c>
      <c r="F44" s="15">
        <f>50*A44</f>
        <v>0</v>
      </c>
      <c r="G44" s="1" t="s">
        <v>4</v>
      </c>
      <c r="H44" s="1"/>
      <c r="I44" s="2"/>
      <c r="J44" s="1" t="s">
        <v>142</v>
      </c>
      <c r="K44" s="1"/>
      <c r="L44" s="1"/>
      <c r="M44" s="1"/>
      <c r="N44" s="1"/>
      <c r="O44" s="1"/>
      <c r="P44" s="1"/>
      <c r="Q44" s="1"/>
      <c r="R44" s="1"/>
      <c r="S44" s="1"/>
      <c r="T44" s="2"/>
      <c r="U44" s="15">
        <f t="shared" si="6"/>
        <v>0</v>
      </c>
      <c r="V44" s="17" t="s">
        <v>1</v>
      </c>
      <c r="W44" s="15">
        <f>ROUND(U44*(1-AA$11/100),0)</f>
        <v>0</v>
      </c>
      <c r="X44" s="16" t="str">
        <f t="shared" si="8"/>
        <v>Engins de Siège</v>
      </c>
      <c r="Y44" s="1" t="s">
        <v>11</v>
      </c>
      <c r="Z44" s="15">
        <f>15*W44</f>
        <v>0</v>
      </c>
      <c r="AA44" s="1" t="s">
        <v>13</v>
      </c>
      <c r="AB44" s="15">
        <f>50*W44</f>
        <v>0</v>
      </c>
      <c r="AC44" s="1" t="s">
        <v>4</v>
      </c>
      <c r="AD44" s="1"/>
    </row>
    <row r="45" spans="1:30" x14ac:dyDescent="0.25">
      <c r="A45" s="19"/>
      <c r="B45" s="18" t="s">
        <v>12</v>
      </c>
      <c r="C45" s="1" t="s">
        <v>11</v>
      </c>
      <c r="D45" s="15">
        <f>10*A45</f>
        <v>0</v>
      </c>
      <c r="E45" s="1" t="s">
        <v>10</v>
      </c>
      <c r="F45" s="1"/>
      <c r="G45" s="1"/>
      <c r="H45" s="1"/>
      <c r="I45" s="2"/>
      <c r="J45" s="1" t="s">
        <v>143</v>
      </c>
      <c r="K45" s="29">
        <v>2</v>
      </c>
      <c r="L45" s="1" t="s">
        <v>157</v>
      </c>
      <c r="M45" s="1"/>
      <c r="N45" s="1"/>
      <c r="O45" s="1"/>
      <c r="P45" s="1"/>
      <c r="Q45" s="1"/>
      <c r="R45" s="1"/>
      <c r="S45" s="1"/>
      <c r="T45" s="2"/>
      <c r="U45" s="15">
        <f t="shared" si="6"/>
        <v>0</v>
      </c>
      <c r="V45" s="17" t="s">
        <v>1</v>
      </c>
      <c r="W45" s="15">
        <f t="shared" si="7"/>
        <v>0</v>
      </c>
      <c r="X45" s="16" t="str">
        <f t="shared" si="8"/>
        <v>Troupes d'Élite</v>
      </c>
      <c r="Y45" s="1" t="s">
        <v>11</v>
      </c>
      <c r="Z45" s="15">
        <f>10*W45</f>
        <v>0</v>
      </c>
      <c r="AA45" s="1" t="s">
        <v>10</v>
      </c>
      <c r="AB45" s="1"/>
      <c r="AC45" s="1"/>
      <c r="AD45" s="1"/>
    </row>
    <row r="46" spans="1:30" x14ac:dyDescent="0.25">
      <c r="A46" s="8" t="s">
        <v>140</v>
      </c>
      <c r="B46" s="13"/>
      <c r="C46" s="8"/>
      <c r="D46" s="10">
        <f>D40+D41+D42+D43+D44+D45</f>
        <v>0</v>
      </c>
      <c r="E46" s="8" t="s">
        <v>5</v>
      </c>
      <c r="F46" s="10">
        <f>D40+D41+D42+F43+F44+D45</f>
        <v>0</v>
      </c>
      <c r="G46" s="8" t="s">
        <v>4</v>
      </c>
      <c r="H46" s="1"/>
      <c r="I46" s="2"/>
      <c r="T46" s="2"/>
      <c r="U46" s="8" t="s">
        <v>9</v>
      </c>
      <c r="V46" s="7"/>
      <c r="W46" s="1"/>
      <c r="X46" s="10">
        <f>D46</f>
        <v>0</v>
      </c>
      <c r="Y46" s="11" t="s">
        <v>1</v>
      </c>
      <c r="Z46" s="10">
        <f>Z40+Z41+Z42+Z43+Z44+Z45</f>
        <v>0</v>
      </c>
      <c r="AA46" s="8" t="s">
        <v>2</v>
      </c>
      <c r="AB46" s="1"/>
      <c r="AC46" s="1"/>
      <c r="AD46" s="1"/>
    </row>
    <row r="47" spans="1:30" x14ac:dyDescent="0.25">
      <c r="A47" s="8"/>
      <c r="B47" s="13"/>
      <c r="C47" s="8"/>
      <c r="D47" s="12"/>
      <c r="E47" s="8"/>
      <c r="F47" s="12"/>
      <c r="G47" s="8"/>
      <c r="H47" s="1"/>
      <c r="I47" s="2"/>
      <c r="J47" s="1" t="s">
        <v>147</v>
      </c>
      <c r="K47" s="1"/>
      <c r="L47" s="1"/>
      <c r="M47" s="1"/>
      <c r="N47" s="1"/>
      <c r="O47" s="1"/>
      <c r="P47" s="1"/>
      <c r="Q47" s="1"/>
      <c r="R47" s="1"/>
      <c r="S47" s="1"/>
      <c r="T47" s="2"/>
      <c r="U47" s="8" t="s">
        <v>8</v>
      </c>
      <c r="V47" s="7"/>
      <c r="W47" s="1"/>
      <c r="X47" s="10">
        <f>F46</f>
        <v>0</v>
      </c>
      <c r="Y47" s="11" t="s">
        <v>1</v>
      </c>
      <c r="Z47" s="10">
        <f>Z40+Z41+AB42+AB43+AB44+Z45</f>
        <v>0</v>
      </c>
      <c r="AA47" s="8" t="s">
        <v>0</v>
      </c>
      <c r="AB47" s="1"/>
      <c r="AC47" s="1"/>
      <c r="AD47" s="1"/>
    </row>
    <row r="48" spans="1:30" x14ac:dyDescent="0.25">
      <c r="A48" s="1" t="s">
        <v>7</v>
      </c>
      <c r="B48" s="1"/>
      <c r="C48" s="1"/>
      <c r="D48" s="9">
        <f>100*D49/F51</f>
        <v>0</v>
      </c>
      <c r="E48" s="8" t="s">
        <v>6</v>
      </c>
      <c r="F48" s="1"/>
      <c r="G48" s="1"/>
      <c r="H48" s="1"/>
      <c r="I48" s="2"/>
      <c r="J48" s="1" t="s">
        <v>146</v>
      </c>
      <c r="K48" s="1"/>
      <c r="L48" s="1"/>
      <c r="M48" s="1"/>
      <c r="N48" s="1" t="s">
        <v>145</v>
      </c>
      <c r="O48" s="1"/>
      <c r="Q48" s="1"/>
      <c r="S48" s="18" t="s">
        <v>88</v>
      </c>
      <c r="T48" s="2"/>
      <c r="U48" s="1"/>
      <c r="V48" s="7"/>
      <c r="W48" s="1" t="s">
        <v>7</v>
      </c>
      <c r="X48" s="1"/>
      <c r="Y48" s="1"/>
      <c r="Z48" s="9">
        <f>100*Z46/Z50</f>
        <v>0</v>
      </c>
      <c r="AA48" s="8" t="s">
        <v>6</v>
      </c>
      <c r="AB48" s="1"/>
      <c r="AC48" s="1"/>
      <c r="AD48" s="1"/>
    </row>
    <row r="49" spans="1:30" x14ac:dyDescent="0.25">
      <c r="A49" s="1"/>
      <c r="B49" s="1"/>
      <c r="C49" s="1"/>
      <c r="D49" s="40">
        <f>D40+D41+A42*4+D43+D44+D45</f>
        <v>0</v>
      </c>
      <c r="E49" s="1"/>
      <c r="F49" s="1"/>
      <c r="G49" s="1"/>
      <c r="H49" s="1"/>
      <c r="I49" s="2"/>
      <c r="J49" s="1" t="s">
        <v>158</v>
      </c>
      <c r="N49" s="29">
        <v>4</v>
      </c>
      <c r="P49" s="1" t="s">
        <v>159</v>
      </c>
      <c r="Q49" s="1"/>
      <c r="R49" s="1"/>
      <c r="S49" s="1"/>
      <c r="T49" s="2"/>
      <c r="U49" s="1"/>
      <c r="V49" s="7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 t="s">
        <v>3</v>
      </c>
      <c r="B50" s="3"/>
      <c r="C50" s="3"/>
      <c r="D50" s="4">
        <f>D20+D33+D46</f>
        <v>120000</v>
      </c>
      <c r="E50" s="3" t="s">
        <v>5</v>
      </c>
      <c r="F50" s="4">
        <f>F20+F33+F46</f>
        <v>175000</v>
      </c>
      <c r="G50" s="3" t="s">
        <v>4</v>
      </c>
      <c r="H50" s="1"/>
      <c r="I50" s="2"/>
      <c r="P50" s="1"/>
      <c r="Q50" s="1"/>
      <c r="R50" s="1"/>
      <c r="S50" s="1"/>
      <c r="T50" s="2"/>
      <c r="U50" s="3" t="s">
        <v>3</v>
      </c>
      <c r="V50" s="7"/>
      <c r="W50" s="1"/>
      <c r="X50" s="6">
        <f>D50</f>
        <v>120000</v>
      </c>
      <c r="Y50" s="5" t="s">
        <v>1</v>
      </c>
      <c r="Z50" s="4">
        <f>Z20+Z33+Z46</f>
        <v>100000</v>
      </c>
      <c r="AA50" s="3" t="s">
        <v>2</v>
      </c>
      <c r="AC50" s="3"/>
      <c r="AD50" s="1"/>
    </row>
    <row r="51" spans="1:30" x14ac:dyDescent="0.25">
      <c r="A51" s="1"/>
      <c r="B51" s="1"/>
      <c r="C51" s="1"/>
      <c r="D51" s="39">
        <f>D20-A16*2+D33-A29*2+D46-A42*2</f>
        <v>100000</v>
      </c>
      <c r="F51" s="39">
        <f>D23+D36+D49</f>
        <v>100000</v>
      </c>
      <c r="G51" s="1"/>
      <c r="H51" s="1"/>
      <c r="I51" s="2"/>
      <c r="P51" s="1"/>
      <c r="Q51" s="1"/>
      <c r="R51" s="1"/>
      <c r="S51" s="1"/>
      <c r="T51" s="2"/>
      <c r="U51" s="1"/>
      <c r="V51" s="7"/>
      <c r="W51" s="1"/>
      <c r="X51" s="6">
        <f>F50</f>
        <v>175000</v>
      </c>
      <c r="Y51" s="5" t="s">
        <v>1</v>
      </c>
      <c r="Z51" s="4">
        <f>Z21+Z34+Z47</f>
        <v>135000</v>
      </c>
      <c r="AA51" s="3" t="s">
        <v>0</v>
      </c>
      <c r="AB51" s="1"/>
      <c r="AC51" s="1"/>
      <c r="AD51" s="1"/>
    </row>
    <row r="52" spans="1:30" ht="1.5" customHeight="1" x14ac:dyDescent="0.25">
      <c r="A52" s="26"/>
      <c r="B52" s="26"/>
      <c r="C52" s="26"/>
      <c r="D52" s="26"/>
      <c r="E52" s="26"/>
      <c r="F52" s="26"/>
      <c r="G52" s="26"/>
      <c r="H52" s="26"/>
      <c r="I52" s="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"/>
      <c r="U52" s="26"/>
      <c r="V52" s="27"/>
      <c r="W52" s="26"/>
      <c r="X52" s="26"/>
      <c r="Y52" s="26"/>
      <c r="Z52" s="26"/>
      <c r="AA52" s="26"/>
      <c r="AB52" s="26"/>
      <c r="AC52" s="26"/>
      <c r="AD52" s="26"/>
    </row>
    <row r="53" spans="1:30" ht="23.25" x14ac:dyDescent="0.25">
      <c r="A53" s="41" t="s">
        <v>164</v>
      </c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1"/>
      <c r="V53" s="7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 t="s">
        <v>24</v>
      </c>
      <c r="B54" s="18" t="s">
        <v>104</v>
      </c>
      <c r="C54" s="1"/>
      <c r="D54" s="1"/>
      <c r="E54" s="1"/>
      <c r="F54" s="1"/>
      <c r="G54" s="1"/>
      <c r="H54" s="1"/>
      <c r="I54" s="2"/>
      <c r="J54" s="1" t="s">
        <v>162</v>
      </c>
      <c r="K54" s="1"/>
      <c r="L54" s="1"/>
      <c r="M54" s="1"/>
      <c r="N54" s="28">
        <f>IF(OR(S48="Non",N49="1"),0,IF(N49=2,N41*0.8,IF(N49=3,N41*0.5,IF(N49=3,N41*0.2,"Erreur !"))))</f>
        <v>0</v>
      </c>
      <c r="O54" s="1" t="s">
        <v>6</v>
      </c>
      <c r="T54" s="2"/>
      <c r="U54" s="1" t="s">
        <v>154</v>
      </c>
      <c r="V54" s="7"/>
      <c r="W54" s="1"/>
      <c r="X54" s="18">
        <v>34.4</v>
      </c>
      <c r="Y54" s="1" t="s">
        <v>149</v>
      </c>
      <c r="Z54" s="1"/>
      <c r="AA54" s="38">
        <f>IF(K$2="Mer",X54,X54*0.5)</f>
        <v>17.2</v>
      </c>
      <c r="AB54" s="1" t="s">
        <v>150</v>
      </c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 t="s">
        <v>163</v>
      </c>
      <c r="K55" s="1"/>
      <c r="L55" s="1"/>
      <c r="M55" s="1"/>
      <c r="N55" s="28">
        <f>IF(K45=1,0,IF(K45=2,N42*0.8,IF(K45=3,N42*0.5,IF(K45=3,N42*0.2,"Erreur !"))))</f>
        <v>34.4</v>
      </c>
      <c r="O55" s="1" t="s">
        <v>6</v>
      </c>
      <c r="T55" s="2"/>
      <c r="U55" s="1"/>
      <c r="V55" s="7"/>
      <c r="W55" s="1"/>
      <c r="X55" s="1"/>
      <c r="Y55" s="1"/>
      <c r="Z55" s="31" t="s">
        <v>152</v>
      </c>
      <c r="AA55" s="38">
        <f>IF(IF(K$2="Mer",X54,X54*2)&gt;100,100,IF(K$2="Mer",X54,X54*2))</f>
        <v>68.8</v>
      </c>
      <c r="AB55" s="1" t="s">
        <v>151</v>
      </c>
      <c r="AC55" s="1"/>
      <c r="AD55" s="1"/>
    </row>
    <row r="56" spans="1:30" x14ac:dyDescent="0.25">
      <c r="A56" s="21" t="s">
        <v>118</v>
      </c>
      <c r="B56" s="20"/>
      <c r="C56" s="1"/>
      <c r="D56" s="1"/>
      <c r="E56" s="1"/>
      <c r="F56" s="1"/>
      <c r="G56" s="1"/>
      <c r="H56" s="1"/>
      <c r="I56" s="2"/>
      <c r="J56" s="1" t="s">
        <v>161</v>
      </c>
      <c r="K56" s="1"/>
      <c r="L56" s="1"/>
      <c r="M56" s="1"/>
      <c r="N56" s="1"/>
      <c r="O56" s="1"/>
      <c r="P56" s="1"/>
      <c r="Q56" s="1"/>
      <c r="R56" s="1"/>
      <c r="S56" s="1"/>
      <c r="T56" s="2"/>
      <c r="U56" s="15" t="str">
        <f t="shared" ref="U56:U63" si="9">A56</f>
        <v>La Muraille Invincible + Force Dunmer Sud</v>
      </c>
      <c r="V56" s="20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8"/>
      <c r="B57" s="1"/>
      <c r="C57" s="1"/>
      <c r="D57" s="1"/>
      <c r="E57" s="1"/>
      <c r="F57" s="1"/>
      <c r="G57" s="1"/>
      <c r="H57" s="1"/>
      <c r="I57" s="2"/>
      <c r="J57" s="1" t="s">
        <v>160</v>
      </c>
      <c r="T57" s="2"/>
      <c r="U57" s="15">
        <f t="shared" si="9"/>
        <v>0</v>
      </c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9">
        <v>12000</v>
      </c>
      <c r="B58" s="18" t="s">
        <v>18</v>
      </c>
      <c r="C58" s="1" t="s">
        <v>11</v>
      </c>
      <c r="D58" s="15">
        <f>2*A58</f>
        <v>24000</v>
      </c>
      <c r="E58" s="1" t="s">
        <v>10</v>
      </c>
      <c r="F58" s="1"/>
      <c r="G58" s="1"/>
      <c r="H58" s="1"/>
      <c r="I58" s="2"/>
      <c r="T58" s="2"/>
      <c r="U58" s="15">
        <f t="shared" si="9"/>
        <v>12000</v>
      </c>
      <c r="V58" s="17" t="s">
        <v>1</v>
      </c>
      <c r="W58" s="15">
        <f t="shared" ref="W58:W63" si="10">ROUND(U58*(1-X$54/100),0)</f>
        <v>7872</v>
      </c>
      <c r="X58" s="16" t="str">
        <f t="shared" ref="X58:X63" si="11">B58</f>
        <v>Fantassins</v>
      </c>
      <c r="Y58" s="1" t="s">
        <v>11</v>
      </c>
      <c r="Z58" s="15">
        <f>2*W58</f>
        <v>15744</v>
      </c>
      <c r="AA58" s="1" t="s">
        <v>10</v>
      </c>
      <c r="AB58" s="1"/>
      <c r="AC58" s="1"/>
      <c r="AD58" s="1"/>
    </row>
    <row r="59" spans="1:30" x14ac:dyDescent="0.25">
      <c r="A59" s="19">
        <v>14000</v>
      </c>
      <c r="B59" s="18" t="s">
        <v>17</v>
      </c>
      <c r="C59" s="1" t="s">
        <v>11</v>
      </c>
      <c r="D59" s="15">
        <f>3*A59</f>
        <v>42000</v>
      </c>
      <c r="E59" s="1" t="s">
        <v>10</v>
      </c>
      <c r="F59" s="1"/>
      <c r="G59" s="1"/>
      <c r="H59" s="1"/>
      <c r="I59" s="2"/>
      <c r="J59" s="1" t="s">
        <v>148</v>
      </c>
      <c r="K59" s="1"/>
      <c r="L59" s="1"/>
      <c r="M59" s="1"/>
      <c r="N59" s="1"/>
      <c r="O59" s="1"/>
      <c r="P59" s="1"/>
      <c r="Q59" s="1"/>
      <c r="R59" s="1"/>
      <c r="S59" s="1"/>
      <c r="T59" s="2"/>
      <c r="U59" s="15">
        <f t="shared" si="9"/>
        <v>14000</v>
      </c>
      <c r="V59" s="17" t="s">
        <v>1</v>
      </c>
      <c r="W59" s="15">
        <f t="shared" si="10"/>
        <v>9184</v>
      </c>
      <c r="X59" s="16" t="str">
        <f t="shared" si="11"/>
        <v>Archers</v>
      </c>
      <c r="Y59" s="1" t="s">
        <v>11</v>
      </c>
      <c r="Z59" s="15">
        <f>3*W59</f>
        <v>27552</v>
      </c>
      <c r="AA59" s="1" t="s">
        <v>10</v>
      </c>
      <c r="AB59" s="1"/>
      <c r="AC59" s="1"/>
      <c r="AD59" s="1"/>
    </row>
    <row r="60" spans="1:30" x14ac:dyDescent="0.25">
      <c r="A60" s="19">
        <v>2000</v>
      </c>
      <c r="B60" s="18" t="s">
        <v>16</v>
      </c>
      <c r="C60" s="1" t="s">
        <v>11</v>
      </c>
      <c r="D60" s="15">
        <f>IF(K$2="Mer",2*A60,4*A60)</f>
        <v>8000</v>
      </c>
      <c r="E60" s="1" t="s">
        <v>165</v>
      </c>
      <c r="G60" s="1"/>
      <c r="H60" s="1"/>
      <c r="I60" s="2"/>
      <c r="J60" s="1" t="s">
        <v>155</v>
      </c>
      <c r="K60" s="1"/>
      <c r="L60" s="1"/>
      <c r="M60" s="1"/>
      <c r="N60" s="1"/>
      <c r="O60" s="1"/>
      <c r="Q60" s="1"/>
      <c r="R60" s="1"/>
      <c r="S60" s="1"/>
      <c r="T60" s="2"/>
      <c r="U60" s="15">
        <f t="shared" si="9"/>
        <v>2000</v>
      </c>
      <c r="V60" s="17" t="s">
        <v>1</v>
      </c>
      <c r="W60" s="15">
        <f>ROUND(U60*(1-AA$54/100),0)</f>
        <v>1656</v>
      </c>
      <c r="X60" s="16" t="str">
        <f t="shared" si="11"/>
        <v>Cavaliers</v>
      </c>
      <c r="Y60" s="1" t="s">
        <v>11</v>
      </c>
      <c r="Z60" s="15">
        <f>4*W60</f>
        <v>6624</v>
      </c>
      <c r="AA60" s="1" t="s">
        <v>13</v>
      </c>
      <c r="AB60" s="15">
        <f>2*W60</f>
        <v>3312</v>
      </c>
      <c r="AC60" s="1" t="s">
        <v>4</v>
      </c>
      <c r="AD60" s="1"/>
    </row>
    <row r="61" spans="1:30" x14ac:dyDescent="0.25">
      <c r="A61" s="19"/>
      <c r="B61" s="18" t="s">
        <v>15</v>
      </c>
      <c r="C61" s="1" t="s">
        <v>11</v>
      </c>
      <c r="D61" s="15">
        <f>1*A61</f>
        <v>0</v>
      </c>
      <c r="E61" s="1" t="s">
        <v>13</v>
      </c>
      <c r="F61" s="15">
        <f>3*A61</f>
        <v>0</v>
      </c>
      <c r="G61" s="1" t="s">
        <v>4</v>
      </c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2"/>
      <c r="U61" s="15">
        <f t="shared" si="9"/>
        <v>0</v>
      </c>
      <c r="V61" s="17" t="s">
        <v>1</v>
      </c>
      <c r="W61" s="15">
        <f>ROUND(U61*(1-X$10/100),0)</f>
        <v>0</v>
      </c>
      <c r="X61" s="16" t="str">
        <f t="shared" si="11"/>
        <v>Mineurs</v>
      </c>
      <c r="Y61" s="1" t="s">
        <v>11</v>
      </c>
      <c r="Z61" s="15">
        <f>1*W61</f>
        <v>0</v>
      </c>
      <c r="AA61" s="1" t="s">
        <v>13</v>
      </c>
      <c r="AB61" s="15">
        <f>3*W61</f>
        <v>0</v>
      </c>
      <c r="AC61" s="1" t="s">
        <v>4</v>
      </c>
      <c r="AD61" s="1"/>
    </row>
    <row r="62" spans="1:30" x14ac:dyDescent="0.25">
      <c r="A62" s="19">
        <v>100</v>
      </c>
      <c r="B62" s="18" t="s">
        <v>14</v>
      </c>
      <c r="C62" s="1" t="s">
        <v>11</v>
      </c>
      <c r="D62" s="15">
        <f>15*A62</f>
        <v>1500</v>
      </c>
      <c r="E62" s="1" t="s">
        <v>13</v>
      </c>
      <c r="F62" s="15">
        <f>50*A62</f>
        <v>5000</v>
      </c>
      <c r="G62" s="1" t="s">
        <v>4</v>
      </c>
      <c r="H62" s="1"/>
      <c r="I62" s="2"/>
      <c r="J62" s="34" t="s">
        <v>167</v>
      </c>
      <c r="K62" s="1"/>
      <c r="L62" s="1"/>
      <c r="M62" s="1"/>
      <c r="N62" s="1"/>
      <c r="O62" s="1"/>
      <c r="P62" s="1"/>
      <c r="Q62" s="1"/>
      <c r="R62" s="1"/>
      <c r="S62" s="1"/>
      <c r="T62" s="2"/>
      <c r="U62" s="15">
        <f t="shared" si="9"/>
        <v>100</v>
      </c>
      <c r="V62" s="17" t="s">
        <v>1</v>
      </c>
      <c r="W62" s="15">
        <f>ROUND(U62*(1-AA$55/100),0)</f>
        <v>31</v>
      </c>
      <c r="X62" s="16" t="str">
        <f t="shared" si="11"/>
        <v>Engins de Siège</v>
      </c>
      <c r="Y62" s="1" t="s">
        <v>11</v>
      </c>
      <c r="Z62" s="15">
        <f>15*W62</f>
        <v>465</v>
      </c>
      <c r="AA62" s="1" t="s">
        <v>13</v>
      </c>
      <c r="AB62" s="15">
        <f>50*W62</f>
        <v>1550</v>
      </c>
      <c r="AC62" s="1" t="s">
        <v>4</v>
      </c>
      <c r="AD62" s="1"/>
    </row>
    <row r="63" spans="1:30" x14ac:dyDescent="0.25">
      <c r="A63" s="19">
        <v>5600</v>
      </c>
      <c r="B63" s="18" t="s">
        <v>94</v>
      </c>
      <c r="C63" s="1" t="s">
        <v>11</v>
      </c>
      <c r="D63" s="15">
        <f>10*A63</f>
        <v>56000</v>
      </c>
      <c r="E63" s="1" t="s">
        <v>10</v>
      </c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2"/>
      <c r="U63" s="15">
        <f t="shared" si="9"/>
        <v>5600</v>
      </c>
      <c r="V63" s="17" t="s">
        <v>1</v>
      </c>
      <c r="W63" s="15">
        <f t="shared" si="10"/>
        <v>3674</v>
      </c>
      <c r="X63" s="16" t="str">
        <f t="shared" si="11"/>
        <v>Mages</v>
      </c>
      <c r="Y63" s="1" t="s">
        <v>11</v>
      </c>
      <c r="Z63" s="15">
        <f>10*W63</f>
        <v>36740</v>
      </c>
      <c r="AA63" s="1" t="s">
        <v>10</v>
      </c>
      <c r="AB63" s="1"/>
      <c r="AC63" s="1"/>
      <c r="AD63" s="1"/>
    </row>
    <row r="64" spans="1:30" x14ac:dyDescent="0.25">
      <c r="A64" s="8" t="s">
        <v>166</v>
      </c>
      <c r="B64" s="13"/>
      <c r="C64" s="8"/>
      <c r="D64" s="10">
        <f>D58+D59+D60+D61+D62+D63</f>
        <v>131500</v>
      </c>
      <c r="E64" s="8" t="s">
        <v>5</v>
      </c>
      <c r="F64" s="10">
        <f>D58+D59+D60+F61+F62+D63</f>
        <v>135000</v>
      </c>
      <c r="G64" s="8" t="s">
        <v>4</v>
      </c>
      <c r="H64" s="1"/>
      <c r="I64" s="2"/>
      <c r="J64" s="1" t="s">
        <v>175</v>
      </c>
      <c r="K64" s="1"/>
      <c r="L64" s="1"/>
      <c r="M64" s="1"/>
      <c r="N64" s="1"/>
      <c r="O64" s="1"/>
      <c r="P64" s="1"/>
      <c r="Q64" s="1"/>
      <c r="R64" s="1"/>
      <c r="S64" s="1"/>
      <c r="T64" s="2"/>
      <c r="U64" s="8" t="s">
        <v>9</v>
      </c>
      <c r="V64" s="7"/>
      <c r="W64" s="1"/>
      <c r="X64" s="10">
        <f>D64</f>
        <v>131500</v>
      </c>
      <c r="Y64" s="11" t="s">
        <v>1</v>
      </c>
      <c r="Z64" s="10">
        <f>Z58+Z59+Z60+Z61+Z62+Z63</f>
        <v>87125</v>
      </c>
      <c r="AA64" s="8" t="s">
        <v>2</v>
      </c>
      <c r="AB64" s="1"/>
      <c r="AC64" s="1"/>
      <c r="AD64" s="1"/>
    </row>
    <row r="65" spans="1:30" x14ac:dyDescent="0.25">
      <c r="A65" s="8"/>
      <c r="B65" s="13"/>
      <c r="C65" s="8"/>
      <c r="D65" s="12"/>
      <c r="E65" s="8"/>
      <c r="F65" s="12"/>
      <c r="G65" s="8"/>
      <c r="H65" s="1"/>
      <c r="I65" s="2"/>
      <c r="J65" s="1" t="s">
        <v>174</v>
      </c>
      <c r="K65" s="1"/>
      <c r="L65" s="1"/>
      <c r="M65" s="1"/>
      <c r="N65" s="1"/>
      <c r="O65" s="1"/>
      <c r="P65" s="1"/>
      <c r="Q65" s="1"/>
      <c r="R65" s="1"/>
      <c r="S65" s="1"/>
      <c r="T65" s="2"/>
      <c r="U65" s="8" t="s">
        <v>8</v>
      </c>
      <c r="V65" s="7"/>
      <c r="W65" s="1"/>
      <c r="X65" s="10">
        <f>F64</f>
        <v>135000</v>
      </c>
      <c r="Y65" s="11" t="s">
        <v>1</v>
      </c>
      <c r="Z65" s="10">
        <f>Z58+Z59+AB60+AB61+AB62+Z63</f>
        <v>84898</v>
      </c>
      <c r="AA65" s="8" t="s">
        <v>0</v>
      </c>
      <c r="AB65" s="1"/>
      <c r="AC65" s="1"/>
      <c r="AD65" s="1"/>
    </row>
    <row r="66" spans="1:30" x14ac:dyDescent="0.25">
      <c r="A66" s="1" t="s">
        <v>7</v>
      </c>
      <c r="B66" s="1"/>
      <c r="C66" s="1"/>
      <c r="D66" s="9">
        <f>100*D67/F95</f>
        <v>100</v>
      </c>
      <c r="E66" s="8" t="s">
        <v>6</v>
      </c>
      <c r="F66" s="1"/>
      <c r="G66" s="1"/>
      <c r="H66" s="1"/>
      <c r="I66" s="2"/>
      <c r="J66" s="1" t="s">
        <v>176</v>
      </c>
      <c r="K66" s="1"/>
      <c r="L66" s="1"/>
      <c r="M66" s="1"/>
      <c r="N66" s="1"/>
      <c r="O66" s="1"/>
      <c r="P66" s="1"/>
      <c r="Q66" s="1"/>
      <c r="R66" s="1"/>
      <c r="S66" s="1"/>
      <c r="T66" s="2"/>
      <c r="U66" s="1"/>
      <c r="V66" s="7"/>
      <c r="W66" s="1" t="s">
        <v>7</v>
      </c>
      <c r="X66" s="1"/>
      <c r="Y66" s="1"/>
      <c r="Z66" s="9">
        <f>100*Z64/Z94</f>
        <v>100</v>
      </c>
      <c r="AA66" s="8" t="s">
        <v>6</v>
      </c>
      <c r="AB66" s="1"/>
      <c r="AC66" s="1"/>
      <c r="AD66" s="1"/>
    </row>
    <row r="67" spans="1:30" ht="15.75" thickBot="1" x14ac:dyDescent="0.3">
      <c r="A67" s="1"/>
      <c r="B67" s="1"/>
      <c r="C67" s="1"/>
      <c r="D67" s="40">
        <f>D58+D59+A60*4+D61+D62+D63</f>
        <v>131500</v>
      </c>
      <c r="E67" s="8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2"/>
      <c r="U67" s="1"/>
      <c r="V67" s="7"/>
      <c r="W67" s="1"/>
      <c r="X67" s="1"/>
      <c r="Y67" s="1"/>
      <c r="Z67" s="25"/>
      <c r="AA67" s="8"/>
      <c r="AB67" s="1"/>
      <c r="AC67" s="1"/>
      <c r="AD67" s="1"/>
    </row>
    <row r="68" spans="1:30" x14ac:dyDescent="0.25">
      <c r="A68" s="22"/>
      <c r="B68" s="22"/>
      <c r="C68" s="22"/>
      <c r="D68" s="24"/>
      <c r="E68" s="23"/>
      <c r="F68" s="22"/>
      <c r="G68" s="22"/>
      <c r="H68" s="2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2"/>
      <c r="U68" s="22"/>
      <c r="V68" s="22"/>
      <c r="W68" s="22"/>
      <c r="X68" s="22"/>
      <c r="Y68" s="22"/>
      <c r="Z68" s="24"/>
      <c r="AA68" s="23"/>
      <c r="AB68" s="22"/>
      <c r="AC68" s="22"/>
      <c r="AD68" s="22"/>
    </row>
    <row r="69" spans="1:30" x14ac:dyDescent="0.25">
      <c r="A69" s="21" t="s">
        <v>112</v>
      </c>
      <c r="B69" s="20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  <c r="U69" s="15" t="str">
        <f t="shared" ref="U69:U76" si="12">A69</f>
        <v># Force d'Interception</v>
      </c>
      <c r="V69" s="20"/>
      <c r="W69" s="1"/>
      <c r="X69" s="20"/>
      <c r="Y69" s="1"/>
      <c r="Z69" s="1"/>
      <c r="AA69" s="1"/>
      <c r="AB69" s="1"/>
      <c r="AC69" s="1"/>
      <c r="AD69" s="1"/>
    </row>
    <row r="70" spans="1:30" x14ac:dyDescent="0.25">
      <c r="A70" s="18" t="s">
        <v>19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2"/>
      <c r="U70" s="15" t="str">
        <f t="shared" si="12"/>
        <v>(Notifier la présence éventuelle du Roi ou du Vassal ici)</v>
      </c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9"/>
      <c r="B71" s="18" t="s">
        <v>18</v>
      </c>
      <c r="C71" s="1" t="s">
        <v>11</v>
      </c>
      <c r="D71" s="15">
        <f>2*A71</f>
        <v>0</v>
      </c>
      <c r="E71" s="1" t="s">
        <v>10</v>
      </c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2"/>
      <c r="U71" s="15">
        <f t="shared" si="12"/>
        <v>0</v>
      </c>
      <c r="V71" s="17" t="s">
        <v>1</v>
      </c>
      <c r="W71" s="15">
        <f t="shared" ref="W71:W76" si="13">ROUND(U71*(1-X$54/100),0)</f>
        <v>0</v>
      </c>
      <c r="X71" s="16" t="str">
        <f t="shared" ref="X71:X76" si="14">B71</f>
        <v>Fantassins</v>
      </c>
      <c r="Y71" s="1" t="s">
        <v>11</v>
      </c>
      <c r="Z71" s="15">
        <f>2*W71</f>
        <v>0</v>
      </c>
      <c r="AA71" s="1" t="s">
        <v>10</v>
      </c>
      <c r="AB71" s="1"/>
      <c r="AC71" s="1"/>
      <c r="AD71" s="1"/>
    </row>
    <row r="72" spans="1:30" x14ac:dyDescent="0.25">
      <c r="A72" s="19"/>
      <c r="B72" s="18" t="s">
        <v>17</v>
      </c>
      <c r="C72" s="1" t="s">
        <v>11</v>
      </c>
      <c r="D72" s="15">
        <f>3*A72</f>
        <v>0</v>
      </c>
      <c r="E72" s="1" t="s">
        <v>10</v>
      </c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5">
        <f t="shared" si="12"/>
        <v>0</v>
      </c>
      <c r="V72" s="17" t="s">
        <v>1</v>
      </c>
      <c r="W72" s="15">
        <f t="shared" si="13"/>
        <v>0</v>
      </c>
      <c r="X72" s="16" t="str">
        <f t="shared" si="14"/>
        <v>Archers</v>
      </c>
      <c r="Y72" s="1" t="s">
        <v>11</v>
      </c>
      <c r="Z72" s="15">
        <f>3*W72</f>
        <v>0</v>
      </c>
      <c r="AA72" s="1" t="s">
        <v>10</v>
      </c>
      <c r="AB72" s="1"/>
      <c r="AC72" s="1"/>
      <c r="AD72" s="1"/>
    </row>
    <row r="73" spans="1:30" x14ac:dyDescent="0.25">
      <c r="A73" s="19"/>
      <c r="B73" s="18" t="s">
        <v>16</v>
      </c>
      <c r="C73" s="1" t="s">
        <v>11</v>
      </c>
      <c r="D73" s="15">
        <f>IF(K$2="Mer",2*A73,4*A73)</f>
        <v>0</v>
      </c>
      <c r="E73" s="1" t="s">
        <v>165</v>
      </c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5">
        <f t="shared" si="12"/>
        <v>0</v>
      </c>
      <c r="V73" s="17" t="s">
        <v>1</v>
      </c>
      <c r="W73" s="15">
        <f>ROUND(U73*(1-AA$54/100),0)</f>
        <v>0</v>
      </c>
      <c r="X73" s="16" t="str">
        <f t="shared" si="14"/>
        <v>Cavaliers</v>
      </c>
      <c r="Y73" s="1" t="s">
        <v>11</v>
      </c>
      <c r="Z73" s="15">
        <f>4*W73</f>
        <v>0</v>
      </c>
      <c r="AA73" s="1" t="s">
        <v>13</v>
      </c>
      <c r="AB73" s="15">
        <f>2*W73</f>
        <v>0</v>
      </c>
      <c r="AC73" s="1" t="s">
        <v>4</v>
      </c>
      <c r="AD73" s="1"/>
    </row>
    <row r="74" spans="1:30" x14ac:dyDescent="0.25">
      <c r="A74" s="19"/>
      <c r="B74" s="18" t="s">
        <v>15</v>
      </c>
      <c r="C74" s="1" t="s">
        <v>11</v>
      </c>
      <c r="D74" s="15">
        <f>1*A74</f>
        <v>0</v>
      </c>
      <c r="E74" s="1" t="s">
        <v>13</v>
      </c>
      <c r="F74" s="15">
        <f>3*A74</f>
        <v>0</v>
      </c>
      <c r="G74" s="1" t="s">
        <v>4</v>
      </c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5">
        <f t="shared" si="12"/>
        <v>0</v>
      </c>
      <c r="V74" s="17" t="s">
        <v>1</v>
      </c>
      <c r="W74" s="15">
        <f>ROUND(U74*(1-X$10/100),0)</f>
        <v>0</v>
      </c>
      <c r="X74" s="16" t="str">
        <f t="shared" si="14"/>
        <v>Mineurs</v>
      </c>
      <c r="Y74" s="1" t="s">
        <v>11</v>
      </c>
      <c r="Z74" s="15">
        <f>1*W74</f>
        <v>0</v>
      </c>
      <c r="AA74" s="1" t="s">
        <v>13</v>
      </c>
      <c r="AB74" s="15">
        <f>3*W74</f>
        <v>0</v>
      </c>
      <c r="AC74" s="1" t="s">
        <v>4</v>
      </c>
      <c r="AD74" s="1"/>
    </row>
    <row r="75" spans="1:30" x14ac:dyDescent="0.25">
      <c r="A75" s="19"/>
      <c r="B75" s="18" t="s">
        <v>14</v>
      </c>
      <c r="C75" s="1" t="s">
        <v>11</v>
      </c>
      <c r="D75" s="15">
        <f>15*A75</f>
        <v>0</v>
      </c>
      <c r="E75" s="1" t="s">
        <v>13</v>
      </c>
      <c r="F75" s="15">
        <f>50*A75</f>
        <v>0</v>
      </c>
      <c r="G75" s="1" t="s">
        <v>4</v>
      </c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5">
        <f t="shared" si="12"/>
        <v>0</v>
      </c>
      <c r="V75" s="17" t="s">
        <v>1</v>
      </c>
      <c r="W75" s="15">
        <f>ROUND(U75*(1-AA$55/100),0)</f>
        <v>0</v>
      </c>
      <c r="X75" s="16" t="str">
        <f t="shared" si="14"/>
        <v>Engins de Siège</v>
      </c>
      <c r="Y75" s="1" t="s">
        <v>11</v>
      </c>
      <c r="Z75" s="15">
        <f>15*W75</f>
        <v>0</v>
      </c>
      <c r="AA75" s="1" t="s">
        <v>13</v>
      </c>
      <c r="AB75" s="15">
        <f>50*W75</f>
        <v>0</v>
      </c>
      <c r="AC75" s="1" t="s">
        <v>4</v>
      </c>
      <c r="AD75" s="1"/>
    </row>
    <row r="76" spans="1:30" x14ac:dyDescent="0.25">
      <c r="A76" s="19"/>
      <c r="B76" s="18" t="s">
        <v>94</v>
      </c>
      <c r="C76" s="1" t="s">
        <v>11</v>
      </c>
      <c r="D76" s="15">
        <f>10*A76</f>
        <v>0</v>
      </c>
      <c r="E76" s="1" t="s">
        <v>10</v>
      </c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5">
        <f t="shared" si="12"/>
        <v>0</v>
      </c>
      <c r="V76" s="17" t="s">
        <v>1</v>
      </c>
      <c r="W76" s="15">
        <f t="shared" si="13"/>
        <v>0</v>
      </c>
      <c r="X76" s="16" t="str">
        <f t="shared" si="14"/>
        <v>Mages</v>
      </c>
      <c r="Y76" s="1" t="s">
        <v>11</v>
      </c>
      <c r="Z76" s="15">
        <f>10*W76</f>
        <v>0</v>
      </c>
      <c r="AA76" s="1" t="s">
        <v>10</v>
      </c>
      <c r="AB76" s="1"/>
      <c r="AC76" s="1"/>
      <c r="AD76" s="1"/>
    </row>
    <row r="77" spans="1:30" x14ac:dyDescent="0.25">
      <c r="A77" s="8" t="s">
        <v>166</v>
      </c>
      <c r="B77" s="13"/>
      <c r="C77" s="8"/>
      <c r="D77" s="10">
        <f>D71+D72+D73+D74+D75+D76</f>
        <v>0</v>
      </c>
      <c r="E77" s="8" t="s">
        <v>5</v>
      </c>
      <c r="F77" s="10">
        <f>D71+D72+D73+F74+F75+D76</f>
        <v>0</v>
      </c>
      <c r="G77" s="8" t="s">
        <v>4</v>
      </c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8" t="s">
        <v>9</v>
      </c>
      <c r="V77" s="7"/>
      <c r="W77" s="1"/>
      <c r="X77" s="10">
        <f>D77</f>
        <v>0</v>
      </c>
      <c r="Y77" s="11" t="s">
        <v>1</v>
      </c>
      <c r="Z77" s="10">
        <f>Z71+Z72+Z73+Z74+Z75+Z76</f>
        <v>0</v>
      </c>
      <c r="AA77" s="8" t="s">
        <v>2</v>
      </c>
      <c r="AB77" s="1"/>
      <c r="AC77" s="1"/>
      <c r="AD77" s="1"/>
    </row>
    <row r="78" spans="1:30" x14ac:dyDescent="0.25">
      <c r="A78" s="8"/>
      <c r="B78" s="13"/>
      <c r="C78" s="8"/>
      <c r="D78" s="12"/>
      <c r="E78" s="8"/>
      <c r="F78" s="12"/>
      <c r="G78" s="8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8" t="s">
        <v>8</v>
      </c>
      <c r="V78" s="7"/>
      <c r="W78" s="1"/>
      <c r="X78" s="10">
        <f>F77</f>
        <v>0</v>
      </c>
      <c r="Y78" s="11" t="s">
        <v>1</v>
      </c>
      <c r="Z78" s="10">
        <f>Z71+Z72+AB73+AB74+AB75+Z76</f>
        <v>0</v>
      </c>
      <c r="AA78" s="8" t="s">
        <v>0</v>
      </c>
      <c r="AB78" s="1"/>
      <c r="AC78" s="1"/>
      <c r="AD78" s="1"/>
    </row>
    <row r="79" spans="1:30" x14ac:dyDescent="0.25">
      <c r="A79" s="1" t="s">
        <v>7</v>
      </c>
      <c r="B79" s="1"/>
      <c r="C79" s="1"/>
      <c r="D79" s="9">
        <f>100*D80/F95</f>
        <v>0</v>
      </c>
      <c r="E79" s="8" t="s">
        <v>6</v>
      </c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7"/>
      <c r="W79" s="1" t="s">
        <v>7</v>
      </c>
      <c r="X79" s="1"/>
      <c r="Y79" s="1"/>
      <c r="Z79" s="9">
        <f>100*Z77/Z94</f>
        <v>0</v>
      </c>
      <c r="AA79" s="8" t="s">
        <v>6</v>
      </c>
      <c r="AB79" s="1"/>
      <c r="AC79" s="1"/>
      <c r="AD79" s="1"/>
    </row>
    <row r="80" spans="1:30" ht="15.75" thickBot="1" x14ac:dyDescent="0.3">
      <c r="A80" s="1"/>
      <c r="B80" s="1"/>
      <c r="C80" s="1"/>
      <c r="D80" s="40" t="b">
        <f>D67=D71+D72+A73*4+D74+D75+D76</f>
        <v>0</v>
      </c>
      <c r="E80" s="8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1"/>
      <c r="W80" s="1"/>
      <c r="X80" s="1"/>
      <c r="Y80" s="1"/>
      <c r="Z80" s="25"/>
      <c r="AA80" s="8"/>
      <c r="AB80" s="1"/>
      <c r="AC80" s="1"/>
      <c r="AD80" s="1"/>
    </row>
    <row r="81" spans="1:30" x14ac:dyDescent="0.25">
      <c r="A81" s="22"/>
      <c r="B81" s="22"/>
      <c r="C81" s="22"/>
      <c r="D81" s="24"/>
      <c r="E81" s="23"/>
      <c r="F81" s="22"/>
      <c r="G81" s="22"/>
      <c r="H81" s="2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22"/>
      <c r="V81" s="22"/>
      <c r="W81" s="22"/>
      <c r="X81" s="22"/>
      <c r="Y81" s="22"/>
      <c r="Z81" s="24"/>
      <c r="AA81" s="23"/>
      <c r="AB81" s="22"/>
      <c r="AC81" s="22"/>
      <c r="AD81" s="22"/>
    </row>
    <row r="82" spans="1:30" x14ac:dyDescent="0.25">
      <c r="A82" s="21" t="s">
        <v>20</v>
      </c>
      <c r="B82" s="20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5" t="str">
        <f t="shared" ref="U82:U89" si="15">A82</f>
        <v># Nom de l'Armée #3</v>
      </c>
      <c r="V82" s="20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8" t="s">
        <v>19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5" t="str">
        <f t="shared" si="15"/>
        <v>(Notifier la présence éventuelle du Roi ou du Vassal ici)</v>
      </c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9"/>
      <c r="B84" s="18" t="s">
        <v>18</v>
      </c>
      <c r="C84" s="1" t="s">
        <v>11</v>
      </c>
      <c r="D84" s="15">
        <f>2*A84</f>
        <v>0</v>
      </c>
      <c r="E84" s="1" t="s">
        <v>10</v>
      </c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5">
        <f t="shared" si="15"/>
        <v>0</v>
      </c>
      <c r="V84" s="17" t="s">
        <v>1</v>
      </c>
      <c r="W84" s="15">
        <f t="shared" ref="W84:W89" si="16">ROUND(U84*(1-X$54/100),0)</f>
        <v>0</v>
      </c>
      <c r="X84" s="16" t="str">
        <f t="shared" ref="X84:X89" si="17">B84</f>
        <v>Fantassins</v>
      </c>
      <c r="Y84" s="1" t="s">
        <v>11</v>
      </c>
      <c r="Z84" s="15">
        <f>2*W84</f>
        <v>0</v>
      </c>
      <c r="AA84" s="1" t="s">
        <v>10</v>
      </c>
      <c r="AB84" s="1"/>
      <c r="AC84" s="1"/>
      <c r="AD84" s="1"/>
    </row>
    <row r="85" spans="1:30" x14ac:dyDescent="0.25">
      <c r="A85" s="19"/>
      <c r="B85" s="18" t="s">
        <v>17</v>
      </c>
      <c r="C85" s="1" t="s">
        <v>11</v>
      </c>
      <c r="D85" s="15">
        <f>3*A85</f>
        <v>0</v>
      </c>
      <c r="E85" s="1" t="s">
        <v>10</v>
      </c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5">
        <f t="shared" si="15"/>
        <v>0</v>
      </c>
      <c r="V85" s="17" t="s">
        <v>1</v>
      </c>
      <c r="W85" s="15">
        <f t="shared" si="16"/>
        <v>0</v>
      </c>
      <c r="X85" s="16" t="str">
        <f t="shared" si="17"/>
        <v>Archers</v>
      </c>
      <c r="Y85" s="1" t="s">
        <v>11</v>
      </c>
      <c r="Z85" s="15">
        <f>3*W85</f>
        <v>0</v>
      </c>
      <c r="AA85" s="1" t="s">
        <v>10</v>
      </c>
      <c r="AB85" s="1"/>
      <c r="AC85" s="1"/>
      <c r="AD85" s="1"/>
    </row>
    <row r="86" spans="1:30" x14ac:dyDescent="0.25">
      <c r="A86" s="19"/>
      <c r="B86" s="18" t="s">
        <v>16</v>
      </c>
      <c r="C86" s="1" t="s">
        <v>11</v>
      </c>
      <c r="D86" s="15">
        <f>IF(K$2="Mer",2*A86,4*A86)</f>
        <v>0</v>
      </c>
      <c r="E86" s="1" t="s">
        <v>165</v>
      </c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5">
        <f t="shared" si="15"/>
        <v>0</v>
      </c>
      <c r="V86" s="17" t="s">
        <v>1</v>
      </c>
      <c r="W86" s="15">
        <f>ROUND(U86*(1-AA$54/100),0)</f>
        <v>0</v>
      </c>
      <c r="X86" s="16" t="str">
        <f t="shared" si="17"/>
        <v>Cavaliers</v>
      </c>
      <c r="Y86" s="1" t="s">
        <v>11</v>
      </c>
      <c r="Z86" s="15">
        <f>4*W86</f>
        <v>0</v>
      </c>
      <c r="AA86" s="1" t="s">
        <v>13</v>
      </c>
      <c r="AB86" s="15">
        <f>2*W86</f>
        <v>0</v>
      </c>
      <c r="AC86" s="1" t="s">
        <v>4</v>
      </c>
      <c r="AD86" s="1"/>
    </row>
    <row r="87" spans="1:30" x14ac:dyDescent="0.25">
      <c r="A87" s="19"/>
      <c r="B87" s="18" t="s">
        <v>15</v>
      </c>
      <c r="C87" s="1" t="s">
        <v>11</v>
      </c>
      <c r="D87" s="15">
        <f>1*A87</f>
        <v>0</v>
      </c>
      <c r="E87" s="1" t="s">
        <v>13</v>
      </c>
      <c r="F87" s="15">
        <f>3*A87</f>
        <v>0</v>
      </c>
      <c r="G87" s="1" t="s">
        <v>4</v>
      </c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5">
        <f t="shared" si="15"/>
        <v>0</v>
      </c>
      <c r="V87" s="17" t="s">
        <v>1</v>
      </c>
      <c r="W87" s="15">
        <f>ROUND(U87*(1-X$10/100),0)</f>
        <v>0</v>
      </c>
      <c r="X87" s="16" t="str">
        <f t="shared" si="17"/>
        <v>Mineurs</v>
      </c>
      <c r="Y87" s="1" t="s">
        <v>11</v>
      </c>
      <c r="Z87" s="15">
        <f>1*W87</f>
        <v>0</v>
      </c>
      <c r="AA87" s="1" t="s">
        <v>13</v>
      </c>
      <c r="AB87" s="15">
        <f>3*W87</f>
        <v>0</v>
      </c>
      <c r="AC87" s="1" t="s">
        <v>4</v>
      </c>
      <c r="AD87" s="1"/>
    </row>
    <row r="88" spans="1:30" x14ac:dyDescent="0.25">
      <c r="A88" s="19"/>
      <c r="B88" s="18" t="s">
        <v>14</v>
      </c>
      <c r="C88" s="1" t="s">
        <v>11</v>
      </c>
      <c r="D88" s="15">
        <f>15*A88</f>
        <v>0</v>
      </c>
      <c r="E88" s="1" t="s">
        <v>13</v>
      </c>
      <c r="F88" s="15">
        <f>50*A88</f>
        <v>0</v>
      </c>
      <c r="G88" s="1" t="s">
        <v>4</v>
      </c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5">
        <f t="shared" si="15"/>
        <v>0</v>
      </c>
      <c r="V88" s="17" t="s">
        <v>1</v>
      </c>
      <c r="W88" s="15">
        <f>ROUND(U88*(1-AA$55/100),0)</f>
        <v>0</v>
      </c>
      <c r="X88" s="16" t="str">
        <f t="shared" si="17"/>
        <v>Engins de Siège</v>
      </c>
      <c r="Y88" s="1" t="s">
        <v>11</v>
      </c>
      <c r="Z88" s="15">
        <f>15*W88</f>
        <v>0</v>
      </c>
      <c r="AA88" s="1" t="s">
        <v>13</v>
      </c>
      <c r="AB88" s="15">
        <f>50*W88</f>
        <v>0</v>
      </c>
      <c r="AC88" s="1" t="s">
        <v>4</v>
      </c>
      <c r="AD88" s="1"/>
    </row>
    <row r="89" spans="1:30" x14ac:dyDescent="0.25">
      <c r="A89" s="19"/>
      <c r="B89" s="18" t="s">
        <v>12</v>
      </c>
      <c r="C89" s="1" t="s">
        <v>11</v>
      </c>
      <c r="D89" s="15">
        <f>10*A89</f>
        <v>0</v>
      </c>
      <c r="E89" s="1" t="s">
        <v>10</v>
      </c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5">
        <f t="shared" si="15"/>
        <v>0</v>
      </c>
      <c r="V89" s="17" t="s">
        <v>1</v>
      </c>
      <c r="W89" s="15">
        <f t="shared" si="16"/>
        <v>0</v>
      </c>
      <c r="X89" s="16" t="str">
        <f t="shared" si="17"/>
        <v>Troupes d'Élite</v>
      </c>
      <c r="Y89" s="1" t="s">
        <v>11</v>
      </c>
      <c r="Z89" s="15">
        <f>10*W89</f>
        <v>0</v>
      </c>
      <c r="AA89" s="1" t="s">
        <v>10</v>
      </c>
      <c r="AB89" s="1"/>
      <c r="AC89" s="1"/>
      <c r="AD89" s="1"/>
    </row>
    <row r="90" spans="1:30" x14ac:dyDescent="0.25">
      <c r="A90" s="8" t="s">
        <v>166</v>
      </c>
      <c r="B90" s="13"/>
      <c r="C90" s="8"/>
      <c r="D90" s="10">
        <f>D84+D85+D86+D87+D88+D89</f>
        <v>0</v>
      </c>
      <c r="E90" s="8" t="s">
        <v>5</v>
      </c>
      <c r="F90" s="10">
        <f>D84+D85+D86+F87+F88+D89</f>
        <v>0</v>
      </c>
      <c r="G90" s="8" t="s">
        <v>4</v>
      </c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8" t="s">
        <v>9</v>
      </c>
      <c r="V90" s="7"/>
      <c r="W90" s="1"/>
      <c r="X90" s="10">
        <f>D90</f>
        <v>0</v>
      </c>
      <c r="Y90" s="11" t="s">
        <v>1</v>
      </c>
      <c r="Z90" s="10">
        <f>Z84+Z85+Z86+Z87+Z88+Z89</f>
        <v>0</v>
      </c>
      <c r="AA90" s="8" t="s">
        <v>2</v>
      </c>
      <c r="AB90" s="1"/>
      <c r="AC90" s="1"/>
      <c r="AD90" s="1"/>
    </row>
    <row r="91" spans="1:30" x14ac:dyDescent="0.25">
      <c r="A91" s="8"/>
      <c r="B91" s="13"/>
      <c r="C91" s="8"/>
      <c r="D91" s="40">
        <f>D82+D83+A84*4+D85+D86+D87</f>
        <v>0</v>
      </c>
      <c r="E91" s="8"/>
      <c r="F91" s="12"/>
      <c r="G91" s="8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2"/>
      <c r="U91" s="8" t="s">
        <v>8</v>
      </c>
      <c r="V91" s="7"/>
      <c r="W91" s="1"/>
      <c r="X91" s="10">
        <f>F90</f>
        <v>0</v>
      </c>
      <c r="Y91" s="11" t="s">
        <v>1</v>
      </c>
      <c r="Z91" s="10">
        <f>Z84+Z85+AB86+AB87+AB88+Z89</f>
        <v>0</v>
      </c>
      <c r="AA91" s="8" t="s">
        <v>0</v>
      </c>
      <c r="AB91" s="1"/>
      <c r="AC91" s="1"/>
      <c r="AD91" s="1"/>
    </row>
    <row r="92" spans="1:30" x14ac:dyDescent="0.25">
      <c r="A92" s="1" t="s">
        <v>7</v>
      </c>
      <c r="B92" s="1"/>
      <c r="C92" s="1"/>
      <c r="D92" s="9">
        <f>100*D93/F95</f>
        <v>0</v>
      </c>
      <c r="E92" s="8" t="s">
        <v>6</v>
      </c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1"/>
      <c r="V92" s="7"/>
      <c r="W92" s="1" t="s">
        <v>7</v>
      </c>
      <c r="X92" s="1"/>
      <c r="Y92" s="1"/>
      <c r="Z92" s="9">
        <f>100*Z90/Z94</f>
        <v>0</v>
      </c>
      <c r="AA92" s="8" t="s">
        <v>6</v>
      </c>
      <c r="AB92" s="1"/>
      <c r="AC92" s="1"/>
      <c r="AD92" s="1"/>
    </row>
    <row r="93" spans="1:30" x14ac:dyDescent="0.25">
      <c r="A93" s="1"/>
      <c r="B93" s="1"/>
      <c r="C93" s="1"/>
      <c r="D93" s="40">
        <f>D84+D85+A86*4+D87+D88+D89</f>
        <v>0</v>
      </c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1"/>
      <c r="V93" s="7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3" t="s">
        <v>3</v>
      </c>
      <c r="B94" s="3"/>
      <c r="C94" s="3"/>
      <c r="D94" s="4">
        <f>D64+D77+D90</f>
        <v>131500</v>
      </c>
      <c r="E94" s="3" t="s">
        <v>5</v>
      </c>
      <c r="F94" s="4">
        <f>F64+F77+F90</f>
        <v>135000</v>
      </c>
      <c r="G94" s="3" t="s">
        <v>4</v>
      </c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3" t="s">
        <v>3</v>
      </c>
      <c r="V94" s="7"/>
      <c r="W94" s="1"/>
      <c r="X94" s="6">
        <f>D94</f>
        <v>131500</v>
      </c>
      <c r="Y94" s="5" t="s">
        <v>1</v>
      </c>
      <c r="Z94" s="4">
        <f>Z64+Z77+Z90</f>
        <v>87125</v>
      </c>
      <c r="AA94" s="3" t="s">
        <v>2</v>
      </c>
      <c r="AC94" s="3"/>
      <c r="AD94" s="1"/>
    </row>
    <row r="95" spans="1:30" x14ac:dyDescent="0.25">
      <c r="A95" s="1"/>
      <c r="B95" s="1"/>
      <c r="C95" s="1"/>
      <c r="D95" s="1"/>
      <c r="E95" s="1"/>
      <c r="F95" s="39">
        <f>D67+D80+D93</f>
        <v>131500</v>
      </c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1"/>
      <c r="V95" s="7"/>
      <c r="W95" s="1"/>
      <c r="X95" s="6">
        <f>F94</f>
        <v>135000</v>
      </c>
      <c r="Y95" s="5" t="s">
        <v>1</v>
      </c>
      <c r="Z95" s="4">
        <f>Z65+Z78+Z91</f>
        <v>84898</v>
      </c>
      <c r="AA95" s="3" t="s">
        <v>0</v>
      </c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conditionalFormatting sqref="D22 D24">
    <cfRule type="cellIs" dxfId="41" priority="39" operator="greaterThanOrEqual">
      <formula>25</formula>
    </cfRule>
    <cfRule type="cellIs" dxfId="40" priority="40" operator="lessThan">
      <formula>25</formula>
    </cfRule>
  </conditionalFormatting>
  <conditionalFormatting sqref="D37">
    <cfRule type="cellIs" dxfId="39" priority="33" operator="greaterThanOrEqual">
      <formula>25</formula>
    </cfRule>
    <cfRule type="cellIs" dxfId="38" priority="34" operator="lessThan">
      <formula>25</formula>
    </cfRule>
  </conditionalFormatting>
  <conditionalFormatting sqref="D66 D68">
    <cfRule type="cellIs" dxfId="37" priority="31" operator="greaterThanOrEqual">
      <formula>25</formula>
    </cfRule>
    <cfRule type="cellIs" dxfId="36" priority="32" operator="lessThan">
      <formula>25</formula>
    </cfRule>
  </conditionalFormatting>
  <conditionalFormatting sqref="D79">
    <cfRule type="cellIs" dxfId="35" priority="29" operator="greaterThanOrEqual">
      <formula>25</formula>
    </cfRule>
    <cfRule type="cellIs" dxfId="34" priority="30" operator="lessThan">
      <formula>25</formula>
    </cfRule>
  </conditionalFormatting>
  <conditionalFormatting sqref="D92">
    <cfRule type="cellIs" dxfId="33" priority="27" operator="greaterThanOrEqual">
      <formula>25</formula>
    </cfRule>
    <cfRule type="cellIs" dxfId="32" priority="28" operator="lessThan">
      <formula>25</formula>
    </cfRule>
  </conditionalFormatting>
  <conditionalFormatting sqref="D81">
    <cfRule type="cellIs" dxfId="31" priority="25" operator="greaterThanOrEqual">
      <formula>25</formula>
    </cfRule>
    <cfRule type="cellIs" dxfId="30" priority="26" operator="lessThan">
      <formula>25</formula>
    </cfRule>
  </conditionalFormatting>
  <conditionalFormatting sqref="Z22:Z24">
    <cfRule type="cellIs" dxfId="29" priority="23" operator="greaterThanOrEqual">
      <formula>25</formula>
    </cfRule>
    <cfRule type="cellIs" dxfId="28" priority="24" operator="lessThan">
      <formula>25</formula>
    </cfRule>
  </conditionalFormatting>
  <conditionalFormatting sqref="Z35">
    <cfRule type="cellIs" dxfId="27" priority="21" operator="greaterThanOrEqual">
      <formula>25</formula>
    </cfRule>
    <cfRule type="cellIs" dxfId="26" priority="22" operator="lessThan">
      <formula>25</formula>
    </cfRule>
  </conditionalFormatting>
  <conditionalFormatting sqref="Z48">
    <cfRule type="cellIs" dxfId="25" priority="19" operator="greaterThanOrEqual">
      <formula>25</formula>
    </cfRule>
    <cfRule type="cellIs" dxfId="24" priority="20" operator="lessThan">
      <formula>25</formula>
    </cfRule>
  </conditionalFormatting>
  <conditionalFormatting sqref="Z36:Z37">
    <cfRule type="cellIs" dxfId="23" priority="17" operator="greaterThanOrEqual">
      <formula>25</formula>
    </cfRule>
    <cfRule type="cellIs" dxfId="22" priority="18" operator="lessThan">
      <formula>25</formula>
    </cfRule>
  </conditionalFormatting>
  <conditionalFormatting sqref="Z66:Z68">
    <cfRule type="cellIs" dxfId="21" priority="15" operator="greaterThanOrEqual">
      <formula>25</formula>
    </cfRule>
    <cfRule type="cellIs" dxfId="20" priority="16" operator="lessThan">
      <formula>25</formula>
    </cfRule>
  </conditionalFormatting>
  <conditionalFormatting sqref="Z79">
    <cfRule type="cellIs" dxfId="19" priority="13" operator="greaterThanOrEqual">
      <formula>25</formula>
    </cfRule>
    <cfRule type="cellIs" dxfId="18" priority="14" operator="lessThan">
      <formula>25</formula>
    </cfRule>
  </conditionalFormatting>
  <conditionalFormatting sqref="Z92">
    <cfRule type="cellIs" dxfId="17" priority="11" operator="greaterThanOrEqual">
      <formula>25</formula>
    </cfRule>
    <cfRule type="cellIs" dxfId="16" priority="12" operator="lessThan">
      <formula>25</formula>
    </cfRule>
  </conditionalFormatting>
  <conditionalFormatting sqref="Z80:Z81">
    <cfRule type="cellIs" dxfId="15" priority="9" operator="greaterThanOrEqual">
      <formula>25</formula>
    </cfRule>
    <cfRule type="cellIs" dxfId="14" priority="10" operator="lessThan">
      <formula>25</formula>
    </cfRule>
  </conditionalFormatting>
  <conditionalFormatting sqref="S48">
    <cfRule type="containsText" dxfId="13" priority="5" operator="containsText" text="Non">
      <formula>NOT(ISERROR(SEARCH("Non",S48)))</formula>
    </cfRule>
    <cfRule type="containsText" dxfId="12" priority="6" operator="containsText" text="Oui">
      <formula>NOT(ISERROR(SEARCH("Oui",S48)))</formula>
    </cfRule>
  </conditionalFormatting>
  <conditionalFormatting sqref="D35">
    <cfRule type="cellIs" dxfId="11" priority="3" operator="greaterThanOrEqual">
      <formula>25</formula>
    </cfRule>
    <cfRule type="cellIs" dxfId="10" priority="4" operator="lessThan">
      <formula>25</formula>
    </cfRule>
  </conditionalFormatting>
  <conditionalFormatting sqref="D48">
    <cfRule type="cellIs" dxfId="9" priority="1" operator="greaterThanOrEqual">
      <formula>25</formula>
    </cfRule>
    <cfRule type="cellIs" dxfId="8" priority="2" operator="lessThan">
      <formula>25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workbookViewId="0">
      <selection activeCell="H97" sqref="H97"/>
    </sheetView>
  </sheetViews>
  <sheetFormatPr baseColWidth="10" defaultRowHeight="15" x14ac:dyDescent="0.25"/>
  <cols>
    <col min="1" max="1" width="11.42578125" style="1"/>
    <col min="2" max="2" width="2" style="1" customWidth="1"/>
    <col min="3" max="3" width="11.42578125" style="1"/>
    <col min="4" max="4" width="2.42578125" style="1" customWidth="1"/>
    <col min="5" max="5" width="10.140625" style="1" customWidth="1"/>
    <col min="6" max="6" width="24.42578125" style="1" customWidth="1"/>
    <col min="7" max="7" width="3.7109375" style="1" customWidth="1"/>
    <col min="8" max="9" width="11.42578125" style="1"/>
    <col min="10" max="10" width="3.140625" style="1" customWidth="1"/>
    <col min="11" max="11" width="2.28515625" style="1" customWidth="1"/>
    <col min="12" max="12" width="11.5703125" customWidth="1"/>
    <col min="13" max="13" width="11.42578125" style="1"/>
    <col min="14" max="14" width="13.28515625" style="1" customWidth="1"/>
    <col min="15" max="15" width="1.5703125" style="1" customWidth="1"/>
    <col min="16" max="16" width="11.140625" style="1" customWidth="1"/>
    <col min="17" max="17" width="7.42578125" style="1" customWidth="1"/>
    <col min="18" max="18" width="11.140625" style="1" customWidth="1"/>
    <col min="19" max="19" width="5.42578125" style="1" customWidth="1"/>
    <col min="20" max="20" width="9" style="1" customWidth="1"/>
    <col min="21" max="16384" width="11.42578125" style="1"/>
  </cols>
  <sheetData>
    <row r="1" spans="1:21" ht="14.25" x14ac:dyDescent="0.2">
      <c r="L1" s="1"/>
    </row>
    <row r="2" spans="1:21" ht="14.25" x14ac:dyDescent="0.2">
      <c r="L2" s="1"/>
    </row>
    <row r="3" spans="1:21" ht="14.25" x14ac:dyDescent="0.2">
      <c r="L3" s="1"/>
    </row>
    <row r="4" spans="1:21" ht="14.25" x14ac:dyDescent="0.2">
      <c r="L4" s="1"/>
    </row>
    <row r="5" spans="1:21" ht="14.25" x14ac:dyDescent="0.2">
      <c r="L5" s="1" t="s">
        <v>90</v>
      </c>
      <c r="R5" s="18" t="s">
        <v>88</v>
      </c>
    </row>
    <row r="6" spans="1:21" ht="14.25" x14ac:dyDescent="0.2">
      <c r="L6" s="1" t="s">
        <v>91</v>
      </c>
      <c r="R6" s="18" t="s">
        <v>89</v>
      </c>
    </row>
    <row r="7" spans="1:21" ht="14.25" x14ac:dyDescent="0.2">
      <c r="L7" s="1" t="s">
        <v>87</v>
      </c>
    </row>
    <row r="8" spans="1:21" ht="14.25" x14ac:dyDescent="0.2">
      <c r="L8" s="1"/>
    </row>
    <row r="9" spans="1:21" ht="14.25" x14ac:dyDescent="0.2">
      <c r="L9" s="1"/>
    </row>
    <row r="10" spans="1:21" ht="14.25" x14ac:dyDescent="0.2">
      <c r="A10" s="1" t="s">
        <v>24</v>
      </c>
      <c r="B10" s="18" t="s">
        <v>96</v>
      </c>
      <c r="L10" s="1"/>
    </row>
    <row r="11" spans="1:21" ht="14.25" x14ac:dyDescent="0.2">
      <c r="L11" s="12" t="s">
        <v>83</v>
      </c>
      <c r="M11" s="13"/>
      <c r="N11" s="13"/>
      <c r="O11" s="13" t="s">
        <v>69</v>
      </c>
      <c r="P11" s="13">
        <f>IF(AND(R5="Oui",R6="Non"),H97,0)</f>
        <v>0</v>
      </c>
      <c r="Q11" s="13" t="s">
        <v>84</v>
      </c>
      <c r="R11" s="13">
        <f>IF(R5="Oui",H47,0)</f>
        <v>0</v>
      </c>
      <c r="S11" s="13" t="s">
        <v>85</v>
      </c>
      <c r="T11" s="13">
        <f>P11/10+R11/4</f>
        <v>0</v>
      </c>
      <c r="U11" s="13" t="s">
        <v>70</v>
      </c>
    </row>
    <row r="12" spans="1:21" ht="14.25" x14ac:dyDescent="0.2">
      <c r="A12" s="21" t="s">
        <v>115</v>
      </c>
      <c r="B12" s="20"/>
      <c r="L12" s="12" t="s">
        <v>86</v>
      </c>
      <c r="M12" s="13"/>
      <c r="N12" s="13"/>
      <c r="O12" s="13" t="s">
        <v>69</v>
      </c>
      <c r="P12" s="13">
        <f>IF(AND(R5="Non",R6="Oui"),H47,0)</f>
        <v>816358</v>
      </c>
      <c r="Q12" s="13" t="s">
        <v>84</v>
      </c>
      <c r="R12" s="13">
        <f>IF(R6="Oui",H97,0)</f>
        <v>299992</v>
      </c>
      <c r="S12" s="13" t="s">
        <v>85</v>
      </c>
      <c r="T12" s="13">
        <f>P12/10+R12/4</f>
        <v>156633.79999999999</v>
      </c>
      <c r="U12" s="13" t="s">
        <v>70</v>
      </c>
    </row>
    <row r="13" spans="1:21" ht="14.25" x14ac:dyDescent="0.2">
      <c r="A13" s="18" t="s">
        <v>122</v>
      </c>
      <c r="L13" s="1"/>
    </row>
    <row r="14" spans="1:21" ht="14.25" x14ac:dyDescent="0.2">
      <c r="A14" s="19">
        <v>450</v>
      </c>
      <c r="B14" s="1" t="s">
        <v>66</v>
      </c>
      <c r="C14" s="19">
        <v>0</v>
      </c>
      <c r="D14" s="1" t="s">
        <v>48</v>
      </c>
      <c r="E14" s="1">
        <f>A14-C14</f>
        <v>450</v>
      </c>
      <c r="F14" s="1" t="s">
        <v>18</v>
      </c>
      <c r="G14" s="1" t="s">
        <v>11</v>
      </c>
      <c r="H14" s="15">
        <f>8*E14</f>
        <v>3600</v>
      </c>
      <c r="I14" s="1" t="s">
        <v>67</v>
      </c>
      <c r="L14" s="1"/>
    </row>
    <row r="15" spans="1:21" ht="14.25" x14ac:dyDescent="0.2">
      <c r="A15" s="19">
        <v>900</v>
      </c>
      <c r="B15" s="1" t="s">
        <v>66</v>
      </c>
      <c r="C15" s="19">
        <v>0</v>
      </c>
      <c r="D15" s="1" t="s">
        <v>48</v>
      </c>
      <c r="E15" s="1">
        <f t="shared" ref="E15:E19" si="0">A15-C15</f>
        <v>900</v>
      </c>
      <c r="F15" s="1" t="s">
        <v>17</v>
      </c>
      <c r="G15" s="1" t="s">
        <v>11</v>
      </c>
      <c r="H15" s="15">
        <f>12*E15</f>
        <v>10800</v>
      </c>
      <c r="I15" s="1" t="s">
        <v>67</v>
      </c>
      <c r="L15" s="1"/>
    </row>
    <row r="16" spans="1:21" ht="14.25" x14ac:dyDescent="0.2">
      <c r="A16" s="19">
        <f>750-363</f>
        <v>387</v>
      </c>
      <c r="B16" s="1" t="s">
        <v>66</v>
      </c>
      <c r="C16" s="19">
        <v>0</v>
      </c>
      <c r="D16" s="1" t="s">
        <v>48</v>
      </c>
      <c r="E16" s="1">
        <f t="shared" si="0"/>
        <v>387</v>
      </c>
      <c r="F16" s="1" t="s">
        <v>16</v>
      </c>
      <c r="G16" s="1" t="s">
        <v>11</v>
      </c>
      <c r="H16" s="15">
        <f>14*E16</f>
        <v>5418</v>
      </c>
      <c r="I16" s="1" t="s">
        <v>67</v>
      </c>
      <c r="L16" s="1"/>
    </row>
    <row r="17" spans="1:12" ht="14.25" x14ac:dyDescent="0.2">
      <c r="A17" s="19">
        <v>750</v>
      </c>
      <c r="B17" s="1" t="s">
        <v>66</v>
      </c>
      <c r="C17" s="19">
        <v>0</v>
      </c>
      <c r="D17" s="1" t="s">
        <v>48</v>
      </c>
      <c r="E17" s="1">
        <f t="shared" si="0"/>
        <v>750</v>
      </c>
      <c r="F17" s="1" t="s">
        <v>15</v>
      </c>
      <c r="G17" s="1" t="s">
        <v>11</v>
      </c>
      <c r="H17" s="15">
        <f>10*E17</f>
        <v>7500</v>
      </c>
      <c r="I17" s="1" t="s">
        <v>67</v>
      </c>
      <c r="L17" s="1"/>
    </row>
    <row r="18" spans="1:12" ht="14.25" x14ac:dyDescent="0.2">
      <c r="A18" s="19">
        <v>3100</v>
      </c>
      <c r="B18" s="1" t="s">
        <v>66</v>
      </c>
      <c r="C18" s="19">
        <v>0</v>
      </c>
      <c r="D18" s="1" t="s">
        <v>48</v>
      </c>
      <c r="E18" s="1">
        <f t="shared" si="0"/>
        <v>3100</v>
      </c>
      <c r="F18" s="1" t="s">
        <v>98</v>
      </c>
      <c r="G18" s="1" t="s">
        <v>11</v>
      </c>
      <c r="H18" s="15">
        <f>150*E18</f>
        <v>465000</v>
      </c>
      <c r="I18" s="1" t="s">
        <v>67</v>
      </c>
      <c r="L18" s="1"/>
    </row>
    <row r="19" spans="1:12" ht="14.25" x14ac:dyDescent="0.2">
      <c r="A19" s="19">
        <f>11400-3299</f>
        <v>8101</v>
      </c>
      <c r="B19" s="1" t="s">
        <v>66</v>
      </c>
      <c r="C19" s="19">
        <v>0</v>
      </c>
      <c r="D19" s="1" t="s">
        <v>48</v>
      </c>
      <c r="E19" s="1">
        <f t="shared" si="0"/>
        <v>8101</v>
      </c>
      <c r="F19" s="1" t="s">
        <v>114</v>
      </c>
      <c r="G19" s="1" t="s">
        <v>11</v>
      </c>
      <c r="H19" s="15">
        <f>40*E19</f>
        <v>324040</v>
      </c>
      <c r="I19" s="1" t="s">
        <v>67</v>
      </c>
      <c r="L19" s="1"/>
    </row>
    <row r="21" spans="1:12" x14ac:dyDescent="0.25">
      <c r="A21" s="1" t="s">
        <v>68</v>
      </c>
      <c r="E21" s="1" t="str">
        <f>A12</f>
        <v>La Grande Armée de Libération</v>
      </c>
      <c r="G21" s="31" t="s">
        <v>69</v>
      </c>
      <c r="H21" s="12">
        <f>H14+H15+H16+H17+H18+H19</f>
        <v>816358</v>
      </c>
      <c r="I21" s="8" t="s">
        <v>70</v>
      </c>
    </row>
    <row r="24" spans="1:12" x14ac:dyDescent="0.25">
      <c r="A24" s="21" t="s">
        <v>109</v>
      </c>
      <c r="B24" s="20"/>
    </row>
    <row r="25" spans="1:12" x14ac:dyDescent="0.25">
      <c r="A25" s="18" t="s">
        <v>110</v>
      </c>
    </row>
    <row r="26" spans="1:12" x14ac:dyDescent="0.25">
      <c r="A26" s="19"/>
      <c r="B26" s="1" t="s">
        <v>66</v>
      </c>
      <c r="C26" s="19"/>
      <c r="D26" s="1" t="s">
        <v>48</v>
      </c>
      <c r="E26" s="1">
        <f>A26-C26</f>
        <v>0</v>
      </c>
      <c r="F26" s="1" t="s">
        <v>108</v>
      </c>
      <c r="G26" s="1" t="s">
        <v>11</v>
      </c>
      <c r="H26" s="15">
        <f>8*E26</f>
        <v>0</v>
      </c>
      <c r="I26" s="1" t="s">
        <v>67</v>
      </c>
    </row>
    <row r="27" spans="1:12" x14ac:dyDescent="0.25">
      <c r="A27" s="19"/>
      <c r="B27" s="1" t="s">
        <v>66</v>
      </c>
      <c r="C27" s="19"/>
      <c r="D27" s="1" t="s">
        <v>48</v>
      </c>
      <c r="E27" s="1">
        <f t="shared" ref="E27:E31" si="1">A27-C27</f>
        <v>0</v>
      </c>
      <c r="F27" s="1" t="s">
        <v>17</v>
      </c>
      <c r="G27" s="1" t="s">
        <v>11</v>
      </c>
      <c r="H27" s="15">
        <f>12*E27</f>
        <v>0</v>
      </c>
      <c r="I27" s="1" t="s">
        <v>67</v>
      </c>
    </row>
    <row r="28" spans="1:12" x14ac:dyDescent="0.25">
      <c r="A28" s="19"/>
      <c r="B28" s="1" t="s">
        <v>66</v>
      </c>
      <c r="C28" s="19"/>
      <c r="D28" s="1" t="s">
        <v>48</v>
      </c>
      <c r="E28" s="1">
        <f t="shared" si="1"/>
        <v>0</v>
      </c>
      <c r="F28" s="1" t="s">
        <v>106</v>
      </c>
      <c r="G28" s="1" t="s">
        <v>11</v>
      </c>
      <c r="H28" s="15">
        <f>14*E28</f>
        <v>0</v>
      </c>
      <c r="I28" s="1" t="s">
        <v>67</v>
      </c>
    </row>
    <row r="29" spans="1:12" x14ac:dyDescent="0.25">
      <c r="A29" s="19"/>
      <c r="B29" s="1" t="s">
        <v>66</v>
      </c>
      <c r="C29" s="19"/>
      <c r="D29" s="1" t="s">
        <v>48</v>
      </c>
      <c r="E29" s="1">
        <f t="shared" si="1"/>
        <v>0</v>
      </c>
      <c r="F29" s="1" t="s">
        <v>107</v>
      </c>
      <c r="G29" s="1" t="s">
        <v>11</v>
      </c>
      <c r="H29" s="15">
        <f>10*E29</f>
        <v>0</v>
      </c>
      <c r="I29" s="1" t="s">
        <v>67</v>
      </c>
    </row>
    <row r="30" spans="1:12" x14ac:dyDescent="0.25">
      <c r="A30" s="19"/>
      <c r="B30" s="1" t="s">
        <v>66</v>
      </c>
      <c r="C30" s="19"/>
      <c r="D30" s="1" t="s">
        <v>48</v>
      </c>
      <c r="E30" s="1">
        <f t="shared" si="1"/>
        <v>0</v>
      </c>
      <c r="F30" s="1" t="s">
        <v>14</v>
      </c>
      <c r="G30" s="1" t="s">
        <v>11</v>
      </c>
      <c r="H30" s="15">
        <f>150*E30</f>
        <v>0</v>
      </c>
      <c r="I30" s="1" t="s">
        <v>67</v>
      </c>
    </row>
    <row r="31" spans="1:12" x14ac:dyDescent="0.25">
      <c r="A31" s="19"/>
      <c r="B31" s="1" t="s">
        <v>66</v>
      </c>
      <c r="C31" s="19"/>
      <c r="D31" s="1" t="s">
        <v>48</v>
      </c>
      <c r="E31" s="1">
        <f t="shared" si="1"/>
        <v>0</v>
      </c>
      <c r="F31" s="1" t="s">
        <v>105</v>
      </c>
      <c r="G31" s="1" t="s">
        <v>11</v>
      </c>
      <c r="H31" s="15">
        <f>40*E31</f>
        <v>0</v>
      </c>
      <c r="I31" s="1" t="s">
        <v>67</v>
      </c>
    </row>
    <row r="33" spans="1:9" x14ac:dyDescent="0.25">
      <c r="A33" s="1" t="s">
        <v>68</v>
      </c>
      <c r="E33" s="1" t="str">
        <f>A24</f>
        <v>Le Glacier Neigéternelle</v>
      </c>
      <c r="G33" s="31" t="s">
        <v>69</v>
      </c>
      <c r="H33" s="12">
        <f>H26+H27+H28+H29+H30+H31</f>
        <v>0</v>
      </c>
      <c r="I33" s="8" t="s">
        <v>70</v>
      </c>
    </row>
    <row r="36" spans="1:9" x14ac:dyDescent="0.25">
      <c r="A36" s="21" t="s">
        <v>20</v>
      </c>
      <c r="B36" s="20"/>
    </row>
    <row r="37" spans="1:9" x14ac:dyDescent="0.25">
      <c r="A37" s="18" t="s">
        <v>19</v>
      </c>
    </row>
    <row r="38" spans="1:9" x14ac:dyDescent="0.25">
      <c r="A38" s="19"/>
      <c r="B38" s="1" t="s">
        <v>66</v>
      </c>
      <c r="C38" s="19"/>
      <c r="D38" s="1" t="s">
        <v>48</v>
      </c>
      <c r="E38" s="1">
        <f>A38-C38</f>
        <v>0</v>
      </c>
      <c r="F38" s="1" t="s">
        <v>18</v>
      </c>
      <c r="G38" s="1" t="s">
        <v>11</v>
      </c>
      <c r="H38" s="15">
        <f>8*E38</f>
        <v>0</v>
      </c>
      <c r="I38" s="1" t="s">
        <v>67</v>
      </c>
    </row>
    <row r="39" spans="1:9" x14ac:dyDescent="0.25">
      <c r="A39" s="19"/>
      <c r="B39" s="1" t="s">
        <v>66</v>
      </c>
      <c r="C39" s="19"/>
      <c r="D39" s="1" t="s">
        <v>48</v>
      </c>
      <c r="E39" s="1">
        <f t="shared" ref="E39:E43" si="2">A39-C39</f>
        <v>0</v>
      </c>
      <c r="F39" s="1" t="s">
        <v>17</v>
      </c>
      <c r="G39" s="1" t="s">
        <v>11</v>
      </c>
      <c r="H39" s="15">
        <f>12*E39</f>
        <v>0</v>
      </c>
      <c r="I39" s="1" t="s">
        <v>67</v>
      </c>
    </row>
    <row r="40" spans="1:9" x14ac:dyDescent="0.25">
      <c r="A40" s="19"/>
      <c r="B40" s="1" t="s">
        <v>66</v>
      </c>
      <c r="C40" s="19"/>
      <c r="D40" s="1" t="s">
        <v>48</v>
      </c>
      <c r="E40" s="1">
        <f t="shared" si="2"/>
        <v>0</v>
      </c>
      <c r="F40" s="1" t="s">
        <v>16</v>
      </c>
      <c r="G40" s="1" t="s">
        <v>11</v>
      </c>
      <c r="H40" s="15">
        <f>14*E40</f>
        <v>0</v>
      </c>
      <c r="I40" s="1" t="s">
        <v>67</v>
      </c>
    </row>
    <row r="41" spans="1:9" x14ac:dyDescent="0.25">
      <c r="A41" s="19"/>
      <c r="B41" s="1" t="s">
        <v>66</v>
      </c>
      <c r="C41" s="19"/>
      <c r="D41" s="1" t="s">
        <v>48</v>
      </c>
      <c r="E41" s="1">
        <f t="shared" si="2"/>
        <v>0</v>
      </c>
      <c r="F41" s="1" t="s">
        <v>15</v>
      </c>
      <c r="G41" s="1" t="s">
        <v>11</v>
      </c>
      <c r="H41" s="15">
        <f>10*E41</f>
        <v>0</v>
      </c>
      <c r="I41" s="1" t="s">
        <v>67</v>
      </c>
    </row>
    <row r="42" spans="1:9" x14ac:dyDescent="0.25">
      <c r="A42" s="19"/>
      <c r="B42" s="1" t="s">
        <v>66</v>
      </c>
      <c r="C42" s="19"/>
      <c r="D42" s="1" t="s">
        <v>48</v>
      </c>
      <c r="E42" s="1">
        <f t="shared" si="2"/>
        <v>0</v>
      </c>
      <c r="F42" s="1" t="s">
        <v>14</v>
      </c>
      <c r="G42" s="1" t="s">
        <v>11</v>
      </c>
      <c r="H42" s="15">
        <f>150*E42</f>
        <v>0</v>
      </c>
      <c r="I42" s="1" t="s">
        <v>67</v>
      </c>
    </row>
    <row r="43" spans="1:9" x14ac:dyDescent="0.25">
      <c r="A43" s="19"/>
      <c r="B43" s="1" t="s">
        <v>66</v>
      </c>
      <c r="C43" s="19"/>
      <c r="D43" s="1" t="s">
        <v>48</v>
      </c>
      <c r="E43" s="1">
        <f t="shared" si="2"/>
        <v>0</v>
      </c>
      <c r="F43" s="1" t="s">
        <v>12</v>
      </c>
      <c r="G43" s="1" t="s">
        <v>11</v>
      </c>
      <c r="H43" s="15">
        <f>40*E43</f>
        <v>0</v>
      </c>
      <c r="I43" s="1" t="s">
        <v>67</v>
      </c>
    </row>
    <row r="44" spans="1:9" x14ac:dyDescent="0.25">
      <c r="A44" s="19"/>
      <c r="C44" s="19"/>
      <c r="H44" s="15"/>
    </row>
    <row r="45" spans="1:9" x14ac:dyDescent="0.25">
      <c r="A45" s="1" t="s">
        <v>68</v>
      </c>
      <c r="E45" s="1" t="str">
        <f>A36</f>
        <v># Nom de l'Armée #3</v>
      </c>
      <c r="G45" s="31" t="s">
        <v>69</v>
      </c>
      <c r="H45" s="12">
        <f>H38+H39+H40+H41+H42+H43</f>
        <v>0</v>
      </c>
      <c r="I45" s="8" t="s">
        <v>70</v>
      </c>
    </row>
    <row r="47" spans="1:9" x14ac:dyDescent="0.25">
      <c r="A47" s="8" t="s">
        <v>93</v>
      </c>
      <c r="B47" s="8"/>
      <c r="C47" s="8"/>
      <c r="D47" s="8"/>
      <c r="E47" s="8"/>
      <c r="H47" s="12">
        <f>H21+H33+H45</f>
        <v>816358</v>
      </c>
      <c r="I47" s="8" t="s">
        <v>70</v>
      </c>
    </row>
    <row r="48" spans="1:9" x14ac:dyDescent="0.25">
      <c r="A48" s="8"/>
      <c r="B48" s="8"/>
      <c r="C48" s="8"/>
      <c r="D48" s="8"/>
      <c r="E48" s="8"/>
      <c r="G48" s="12"/>
      <c r="H48" s="8"/>
    </row>
    <row r="49" spans="1:12" ht="14.25" x14ac:dyDescent="0.2">
      <c r="A49" s="7" t="s">
        <v>71</v>
      </c>
      <c r="F49" s="12">
        <f>H47</f>
        <v>816358</v>
      </c>
      <c r="G49" s="8" t="s">
        <v>72</v>
      </c>
      <c r="H49" s="8">
        <f>1+C52/100+C51/100</f>
        <v>1.25</v>
      </c>
      <c r="I49" s="8" t="s">
        <v>72</v>
      </c>
      <c r="J49" s="8">
        <f>IF(C54="",1,C54)</f>
        <v>1</v>
      </c>
      <c r="K49" s="8" t="s">
        <v>48</v>
      </c>
      <c r="L49" s="12">
        <f>F49*H49*J49</f>
        <v>1020447.5</v>
      </c>
    </row>
    <row r="50" spans="1:12" x14ac:dyDescent="0.25">
      <c r="A50" s="1" t="s">
        <v>73</v>
      </c>
    </row>
    <row r="51" spans="1:12" x14ac:dyDescent="0.25">
      <c r="A51" s="1" t="s">
        <v>81</v>
      </c>
      <c r="B51" s="1" t="s">
        <v>34</v>
      </c>
      <c r="C51" s="18">
        <v>25</v>
      </c>
      <c r="D51" s="1" t="s">
        <v>6</v>
      </c>
      <c r="E51" s="1" t="s">
        <v>76</v>
      </c>
      <c r="F51" s="1" t="s">
        <v>79</v>
      </c>
    </row>
    <row r="52" spans="1:12" x14ac:dyDescent="0.25">
      <c r="A52" s="1" t="s">
        <v>81</v>
      </c>
      <c r="B52" s="1" t="s">
        <v>34</v>
      </c>
      <c r="C52" s="18"/>
      <c r="D52" s="1" t="s">
        <v>6</v>
      </c>
      <c r="E52" s="1" t="s">
        <v>76</v>
      </c>
      <c r="F52" s="1" t="s">
        <v>82</v>
      </c>
    </row>
    <row r="53" spans="1:12" x14ac:dyDescent="0.25">
      <c r="A53" s="1" t="s">
        <v>74</v>
      </c>
    </row>
    <row r="54" spans="1:12" x14ac:dyDescent="0.25">
      <c r="A54" s="1" t="s">
        <v>81</v>
      </c>
      <c r="B54" s="1" t="s">
        <v>75</v>
      </c>
      <c r="C54" s="18"/>
      <c r="E54" s="1" t="s">
        <v>77</v>
      </c>
    </row>
    <row r="56" spans="1:12" x14ac:dyDescent="0.25">
      <c r="C56"/>
    </row>
    <row r="58" spans="1:12" ht="3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</row>
    <row r="60" spans="1:12" x14ac:dyDescent="0.25">
      <c r="A60" s="1" t="s">
        <v>24</v>
      </c>
      <c r="B60" s="18" t="s">
        <v>111</v>
      </c>
    </row>
    <row r="62" spans="1:12" x14ac:dyDescent="0.25">
      <c r="A62" s="21" t="s">
        <v>113</v>
      </c>
      <c r="B62" s="20"/>
    </row>
    <row r="63" spans="1:12" x14ac:dyDescent="0.25">
      <c r="A63" s="18"/>
    </row>
    <row r="64" spans="1:12" x14ac:dyDescent="0.25">
      <c r="A64" s="19">
        <v>3300</v>
      </c>
      <c r="B64" s="1" t="s">
        <v>66</v>
      </c>
      <c r="C64" s="19">
        <v>448</v>
      </c>
      <c r="D64" s="1" t="s">
        <v>48</v>
      </c>
      <c r="E64" s="1">
        <f>A64-C64</f>
        <v>2852</v>
      </c>
      <c r="F64" s="1" t="s">
        <v>18</v>
      </c>
      <c r="G64" s="1" t="s">
        <v>11</v>
      </c>
      <c r="H64" s="15">
        <f>8*E64</f>
        <v>22816</v>
      </c>
      <c r="I64" s="1" t="s">
        <v>67</v>
      </c>
    </row>
    <row r="65" spans="1:9" x14ac:dyDescent="0.25">
      <c r="A65" s="19">
        <v>1650</v>
      </c>
      <c r="B65" s="1" t="s">
        <v>66</v>
      </c>
      <c r="C65" s="19">
        <v>224</v>
      </c>
      <c r="D65" s="1" t="s">
        <v>48</v>
      </c>
      <c r="E65" s="1">
        <f t="shared" ref="E65:E69" si="3">A65-C65</f>
        <v>1426</v>
      </c>
      <c r="F65" s="1" t="s">
        <v>17</v>
      </c>
      <c r="G65" s="1" t="s">
        <v>11</v>
      </c>
      <c r="H65" s="15">
        <f>12*E65</f>
        <v>17112</v>
      </c>
      <c r="I65" s="1" t="s">
        <v>67</v>
      </c>
    </row>
    <row r="66" spans="1:9" x14ac:dyDescent="0.25">
      <c r="A66" s="19">
        <v>924</v>
      </c>
      <c r="B66" s="1" t="s">
        <v>66</v>
      </c>
      <c r="C66" s="19">
        <v>125</v>
      </c>
      <c r="D66" s="1" t="s">
        <v>48</v>
      </c>
      <c r="E66" s="1">
        <f t="shared" si="3"/>
        <v>799</v>
      </c>
      <c r="F66" s="1" t="s">
        <v>16</v>
      </c>
      <c r="G66" s="1" t="s">
        <v>11</v>
      </c>
      <c r="H66" s="15">
        <f>14*E66</f>
        <v>11186</v>
      </c>
      <c r="I66" s="1" t="s">
        <v>67</v>
      </c>
    </row>
    <row r="67" spans="1:9" x14ac:dyDescent="0.25">
      <c r="A67" s="19">
        <v>924</v>
      </c>
      <c r="B67" s="1" t="s">
        <v>66</v>
      </c>
      <c r="C67" s="19">
        <v>125</v>
      </c>
      <c r="D67" s="1" t="s">
        <v>48</v>
      </c>
      <c r="E67" s="1">
        <f t="shared" si="3"/>
        <v>799</v>
      </c>
      <c r="F67" s="1" t="s">
        <v>15</v>
      </c>
      <c r="G67" s="1" t="s">
        <v>11</v>
      </c>
      <c r="H67" s="15">
        <f>10*E67</f>
        <v>7990</v>
      </c>
      <c r="I67" s="1" t="s">
        <v>67</v>
      </c>
    </row>
    <row r="68" spans="1:9" x14ac:dyDescent="0.25">
      <c r="A68" s="19">
        <v>66</v>
      </c>
      <c r="B68" s="1" t="s">
        <v>66</v>
      </c>
      <c r="C68" s="19">
        <v>10</v>
      </c>
      <c r="D68" s="1" t="s">
        <v>48</v>
      </c>
      <c r="E68" s="1">
        <f t="shared" si="3"/>
        <v>56</v>
      </c>
      <c r="F68" s="1" t="s">
        <v>14</v>
      </c>
      <c r="G68" s="1" t="s">
        <v>11</v>
      </c>
      <c r="H68" s="15">
        <f>150*E68</f>
        <v>8400</v>
      </c>
      <c r="I68" s="1" t="s">
        <v>67</v>
      </c>
    </row>
    <row r="69" spans="1:9" x14ac:dyDescent="0.25">
      <c r="A69" s="19">
        <v>4532</v>
      </c>
      <c r="B69" s="1" t="s">
        <v>66</v>
      </c>
      <c r="C69" s="19">
        <v>614</v>
      </c>
      <c r="D69" s="1" t="s">
        <v>48</v>
      </c>
      <c r="E69" s="1">
        <f t="shared" si="3"/>
        <v>3918</v>
      </c>
      <c r="F69" s="1" t="s">
        <v>94</v>
      </c>
      <c r="G69" s="1" t="s">
        <v>11</v>
      </c>
      <c r="H69" s="15">
        <f>40*E69</f>
        <v>156720</v>
      </c>
      <c r="I69" s="1" t="s">
        <v>67</v>
      </c>
    </row>
    <row r="71" spans="1:9" x14ac:dyDescent="0.25">
      <c r="A71" s="1" t="s">
        <v>68</v>
      </c>
      <c r="E71" s="1" t="str">
        <f>A62</f>
        <v>La Faucheuse</v>
      </c>
      <c r="G71" s="31" t="s">
        <v>69</v>
      </c>
      <c r="H71" s="12">
        <f>H64+H65+H66+H67+H68+H69</f>
        <v>224224</v>
      </c>
      <c r="I71" s="8" t="s">
        <v>70</v>
      </c>
    </row>
    <row r="74" spans="1:9" x14ac:dyDescent="0.25">
      <c r="A74" s="21" t="s">
        <v>132</v>
      </c>
      <c r="B74" s="20"/>
    </row>
    <row r="75" spans="1:9" x14ac:dyDescent="0.25">
      <c r="A75" s="18"/>
    </row>
    <row r="76" spans="1:9" x14ac:dyDescent="0.25">
      <c r="A76" s="19">
        <v>4091</v>
      </c>
      <c r="B76" s="1" t="s">
        <v>66</v>
      </c>
      <c r="C76" s="19">
        <v>4011</v>
      </c>
      <c r="D76" s="1" t="s">
        <v>48</v>
      </c>
      <c r="E76" s="1">
        <f>A76-C76</f>
        <v>80</v>
      </c>
      <c r="F76" s="1" t="s">
        <v>18</v>
      </c>
      <c r="G76" s="1" t="s">
        <v>11</v>
      </c>
      <c r="H76" s="15">
        <f>8*E76</f>
        <v>640</v>
      </c>
      <c r="I76" s="1" t="s">
        <v>67</v>
      </c>
    </row>
    <row r="77" spans="1:9" x14ac:dyDescent="0.25">
      <c r="A77" s="19">
        <v>4091</v>
      </c>
      <c r="B77" s="1" t="s">
        <v>66</v>
      </c>
      <c r="C77" s="19">
        <v>4011</v>
      </c>
      <c r="D77" s="1" t="s">
        <v>48</v>
      </c>
      <c r="E77" s="1">
        <f t="shared" ref="E77:E81" si="4">A77-C77</f>
        <v>80</v>
      </c>
      <c r="F77" s="1" t="s">
        <v>17</v>
      </c>
      <c r="G77" s="1" t="s">
        <v>11</v>
      </c>
      <c r="H77" s="15">
        <f>12*E77</f>
        <v>960</v>
      </c>
      <c r="I77" s="1" t="s">
        <v>67</v>
      </c>
    </row>
    <row r="78" spans="1:9" x14ac:dyDescent="0.25">
      <c r="A78" s="19">
        <v>6000</v>
      </c>
      <c r="B78" s="1" t="s">
        <v>66</v>
      </c>
      <c r="C78" s="19">
        <v>848</v>
      </c>
      <c r="D78" s="1" t="s">
        <v>48</v>
      </c>
      <c r="E78" s="1">
        <f t="shared" si="4"/>
        <v>5152</v>
      </c>
      <c r="F78" s="1" t="s">
        <v>16</v>
      </c>
      <c r="G78" s="1" t="s">
        <v>11</v>
      </c>
      <c r="H78" s="15">
        <f>14*E78</f>
        <v>72128</v>
      </c>
      <c r="I78" s="1" t="s">
        <v>67</v>
      </c>
    </row>
    <row r="79" spans="1:9" x14ac:dyDescent="0.25">
      <c r="A79" s="19"/>
      <c r="B79" s="1" t="s">
        <v>66</v>
      </c>
      <c r="C79" s="19"/>
      <c r="D79" s="1" t="s">
        <v>48</v>
      </c>
      <c r="E79" s="1">
        <f t="shared" si="4"/>
        <v>0</v>
      </c>
      <c r="F79" s="1" t="s">
        <v>15</v>
      </c>
      <c r="G79" s="1" t="s">
        <v>11</v>
      </c>
      <c r="H79" s="15">
        <f>10*E79</f>
        <v>0</v>
      </c>
      <c r="I79" s="1" t="s">
        <v>67</v>
      </c>
    </row>
    <row r="80" spans="1:9" x14ac:dyDescent="0.25">
      <c r="A80" s="19"/>
      <c r="B80" s="1" t="s">
        <v>66</v>
      </c>
      <c r="C80" s="19"/>
      <c r="D80" s="1" t="s">
        <v>48</v>
      </c>
      <c r="E80" s="1">
        <f t="shared" si="4"/>
        <v>0</v>
      </c>
      <c r="F80" s="1" t="s">
        <v>14</v>
      </c>
      <c r="G80" s="1" t="s">
        <v>11</v>
      </c>
      <c r="H80" s="15">
        <f>150*E80</f>
        <v>0</v>
      </c>
      <c r="I80" s="1" t="s">
        <v>67</v>
      </c>
    </row>
    <row r="81" spans="1:9" x14ac:dyDescent="0.25">
      <c r="A81" s="19">
        <f>1275+820</f>
        <v>2095</v>
      </c>
      <c r="B81" s="1" t="s">
        <v>66</v>
      </c>
      <c r="C81" s="19">
        <v>2044</v>
      </c>
      <c r="D81" s="1" t="s">
        <v>48</v>
      </c>
      <c r="E81" s="1">
        <f t="shared" si="4"/>
        <v>51</v>
      </c>
      <c r="F81" s="1" t="s">
        <v>94</v>
      </c>
      <c r="G81" s="1" t="s">
        <v>11</v>
      </c>
      <c r="H81" s="15">
        <f>40*E81</f>
        <v>2040</v>
      </c>
      <c r="I81" s="1" t="s">
        <v>67</v>
      </c>
    </row>
    <row r="83" spans="1:9" x14ac:dyDescent="0.25">
      <c r="A83" s="1" t="s">
        <v>68</v>
      </c>
      <c r="E83" s="1" t="str">
        <f>A74</f>
        <v>Force d'Interception + Groupe 1 + Groupe 2</v>
      </c>
      <c r="G83" s="31" t="s">
        <v>69</v>
      </c>
      <c r="H83" s="12">
        <f>H76+H77+H78+H79+H80+H81</f>
        <v>75768</v>
      </c>
      <c r="I83" s="8" t="s">
        <v>70</v>
      </c>
    </row>
    <row r="86" spans="1:9" x14ac:dyDescent="0.25">
      <c r="A86" s="21" t="s">
        <v>20</v>
      </c>
      <c r="B86" s="20"/>
    </row>
    <row r="87" spans="1:9" x14ac:dyDescent="0.25">
      <c r="A87" s="18" t="s">
        <v>19</v>
      </c>
    </row>
    <row r="88" spans="1:9" x14ac:dyDescent="0.25">
      <c r="A88" s="19"/>
      <c r="B88" s="1" t="s">
        <v>66</v>
      </c>
      <c r="C88" s="19"/>
      <c r="D88" s="1" t="s">
        <v>48</v>
      </c>
      <c r="E88" s="1">
        <f>A88-C88</f>
        <v>0</v>
      </c>
      <c r="F88" s="1" t="s">
        <v>18</v>
      </c>
      <c r="G88" s="1" t="s">
        <v>11</v>
      </c>
      <c r="H88" s="15">
        <f>8*E88</f>
        <v>0</v>
      </c>
      <c r="I88" s="1" t="s">
        <v>67</v>
      </c>
    </row>
    <row r="89" spans="1:9" x14ac:dyDescent="0.25">
      <c r="A89" s="19"/>
      <c r="B89" s="1" t="s">
        <v>66</v>
      </c>
      <c r="C89" s="19"/>
      <c r="D89" s="1" t="s">
        <v>48</v>
      </c>
      <c r="E89" s="1">
        <f t="shared" ref="E89:E93" si="5">A89-C89</f>
        <v>0</v>
      </c>
      <c r="F89" s="1" t="s">
        <v>17</v>
      </c>
      <c r="G89" s="1" t="s">
        <v>11</v>
      </c>
      <c r="H89" s="15">
        <f>12*E89</f>
        <v>0</v>
      </c>
      <c r="I89" s="1" t="s">
        <v>67</v>
      </c>
    </row>
    <row r="90" spans="1:9" x14ac:dyDescent="0.25">
      <c r="A90" s="19"/>
      <c r="B90" s="1" t="s">
        <v>66</v>
      </c>
      <c r="C90" s="19"/>
      <c r="D90" s="1" t="s">
        <v>48</v>
      </c>
      <c r="E90" s="1">
        <f t="shared" si="5"/>
        <v>0</v>
      </c>
      <c r="F90" s="1" t="s">
        <v>16</v>
      </c>
      <c r="G90" s="1" t="s">
        <v>11</v>
      </c>
      <c r="H90" s="15">
        <f>14*E90</f>
        <v>0</v>
      </c>
      <c r="I90" s="1" t="s">
        <v>67</v>
      </c>
    </row>
    <row r="91" spans="1:9" x14ac:dyDescent="0.25">
      <c r="A91" s="19"/>
      <c r="B91" s="1" t="s">
        <v>66</v>
      </c>
      <c r="C91" s="19"/>
      <c r="D91" s="1" t="s">
        <v>48</v>
      </c>
      <c r="E91" s="1">
        <f t="shared" si="5"/>
        <v>0</v>
      </c>
      <c r="F91" s="1" t="s">
        <v>15</v>
      </c>
      <c r="G91" s="1" t="s">
        <v>11</v>
      </c>
      <c r="H91" s="15">
        <f>10*E91</f>
        <v>0</v>
      </c>
      <c r="I91" s="1" t="s">
        <v>67</v>
      </c>
    </row>
    <row r="92" spans="1:9" x14ac:dyDescent="0.25">
      <c r="A92" s="19"/>
      <c r="B92" s="1" t="s">
        <v>66</v>
      </c>
      <c r="C92" s="19"/>
      <c r="D92" s="1" t="s">
        <v>48</v>
      </c>
      <c r="E92" s="1">
        <f t="shared" si="5"/>
        <v>0</v>
      </c>
      <c r="F92" s="1" t="s">
        <v>14</v>
      </c>
      <c r="G92" s="1" t="s">
        <v>11</v>
      </c>
      <c r="H92" s="15">
        <f>150*E92</f>
        <v>0</v>
      </c>
      <c r="I92" s="1" t="s">
        <v>67</v>
      </c>
    </row>
    <row r="93" spans="1:9" x14ac:dyDescent="0.25">
      <c r="A93" s="19"/>
      <c r="B93" s="1" t="s">
        <v>66</v>
      </c>
      <c r="C93" s="19"/>
      <c r="D93" s="1" t="s">
        <v>48</v>
      </c>
      <c r="E93" s="1">
        <f t="shared" si="5"/>
        <v>0</v>
      </c>
      <c r="F93" s="1" t="s">
        <v>12</v>
      </c>
      <c r="G93" s="1" t="s">
        <v>11</v>
      </c>
      <c r="H93" s="15">
        <f>40*E93</f>
        <v>0</v>
      </c>
      <c r="I93" s="1" t="s">
        <v>67</v>
      </c>
    </row>
    <row r="95" spans="1:9" x14ac:dyDescent="0.25">
      <c r="A95" s="1" t="s">
        <v>68</v>
      </c>
      <c r="E95" s="1" t="str">
        <f>A86</f>
        <v># Nom de l'Armée #3</v>
      </c>
      <c r="G95" s="31" t="s">
        <v>69</v>
      </c>
      <c r="H95" s="12">
        <f>H88+H89+H90+H91+H92+H93</f>
        <v>0</v>
      </c>
      <c r="I95" s="8" t="s">
        <v>70</v>
      </c>
    </row>
    <row r="97" spans="1:12" x14ac:dyDescent="0.25">
      <c r="A97" s="8" t="s">
        <v>92</v>
      </c>
      <c r="B97" s="8"/>
      <c r="C97" s="8"/>
      <c r="D97" s="8"/>
      <c r="E97" s="8"/>
      <c r="H97" s="12">
        <f>H71+H83+H95</f>
        <v>299992</v>
      </c>
      <c r="I97" s="8" t="s">
        <v>70</v>
      </c>
    </row>
    <row r="98" spans="1:12" x14ac:dyDescent="0.25">
      <c r="A98" s="8"/>
      <c r="B98" s="8"/>
      <c r="C98" s="8"/>
      <c r="D98" s="8"/>
      <c r="E98" s="8"/>
      <c r="G98" s="12"/>
      <c r="H98" s="8"/>
    </row>
    <row r="99" spans="1:12" ht="14.25" x14ac:dyDescent="0.2">
      <c r="A99" s="7" t="s">
        <v>95</v>
      </c>
      <c r="F99" s="12">
        <f>H97</f>
        <v>299992</v>
      </c>
      <c r="G99" s="8" t="s">
        <v>72</v>
      </c>
      <c r="H99" s="8">
        <f>1+C101/100+C102/100</f>
        <v>2</v>
      </c>
      <c r="I99" s="8" t="s">
        <v>72</v>
      </c>
      <c r="J99" s="8">
        <f>IF(C104="",1,C104)</f>
        <v>1</v>
      </c>
      <c r="K99" s="8" t="s">
        <v>48</v>
      </c>
      <c r="L99" s="12">
        <f>F99*H99*J99</f>
        <v>599984</v>
      </c>
    </row>
    <row r="100" spans="1:12" x14ac:dyDescent="0.25">
      <c r="A100" s="1" t="s">
        <v>73</v>
      </c>
    </row>
    <row r="101" spans="1:12" x14ac:dyDescent="0.25">
      <c r="B101" s="1" t="s">
        <v>34</v>
      </c>
      <c r="C101" s="18">
        <v>100</v>
      </c>
      <c r="D101" s="1" t="s">
        <v>6</v>
      </c>
      <c r="E101" s="1" t="s">
        <v>76</v>
      </c>
      <c r="F101" s="1" t="s">
        <v>78</v>
      </c>
    </row>
    <row r="102" spans="1:12" x14ac:dyDescent="0.25">
      <c r="B102" s="1" t="s">
        <v>34</v>
      </c>
      <c r="C102" s="18"/>
      <c r="D102" s="1" t="s">
        <v>6</v>
      </c>
      <c r="E102" s="1" t="s">
        <v>76</v>
      </c>
      <c r="F102" s="1" t="s">
        <v>79</v>
      </c>
    </row>
    <row r="103" spans="1:12" x14ac:dyDescent="0.25">
      <c r="A103" s="1" t="s">
        <v>74</v>
      </c>
    </row>
    <row r="104" spans="1:12" x14ac:dyDescent="0.25">
      <c r="B104" s="1" t="s">
        <v>75</v>
      </c>
      <c r="C104" s="18"/>
      <c r="E104" s="1" t="s">
        <v>77</v>
      </c>
    </row>
  </sheetData>
  <conditionalFormatting sqref="R5:R6">
    <cfRule type="containsText" dxfId="7" priority="1" operator="containsText" text="Non">
      <formula>NOT(ISERROR(SEARCH("Non",R5)))</formula>
    </cfRule>
    <cfRule type="containsText" dxfId="6" priority="2" operator="containsText" text="Oui">
      <formula>NOT(ISERROR(SEARCH("Oui",R5)))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workbookViewId="0">
      <selection activeCell="R6" sqref="R6"/>
    </sheetView>
  </sheetViews>
  <sheetFormatPr baseColWidth="10" defaultRowHeight="15" x14ac:dyDescent="0.25"/>
  <cols>
    <col min="1" max="1" width="11.42578125" style="1"/>
    <col min="2" max="2" width="2" style="1" customWidth="1"/>
    <col min="3" max="3" width="11.42578125" style="1"/>
    <col min="4" max="4" width="2.42578125" style="1" customWidth="1"/>
    <col min="5" max="5" width="10.140625" style="1" customWidth="1"/>
    <col min="6" max="6" width="16.7109375" style="1" customWidth="1"/>
    <col min="7" max="7" width="3.7109375" style="1" customWidth="1"/>
    <col min="8" max="9" width="11.42578125" style="1"/>
    <col min="10" max="10" width="6.85546875" style="1" customWidth="1"/>
    <col min="11" max="11" width="2.28515625" style="1" customWidth="1"/>
    <col min="12" max="12" width="11.5703125" customWidth="1"/>
    <col min="13" max="13" width="11.42578125" style="1"/>
    <col min="14" max="14" width="13.28515625" style="1" customWidth="1"/>
    <col min="15" max="15" width="1.5703125" style="1" customWidth="1"/>
    <col min="16" max="16" width="11.140625" style="1" customWidth="1"/>
    <col min="17" max="17" width="7.42578125" style="1" customWidth="1"/>
    <col min="18" max="18" width="11.140625" style="1" customWidth="1"/>
    <col min="19" max="19" width="5.42578125" style="1" customWidth="1"/>
    <col min="20" max="20" width="9" style="1" customWidth="1"/>
    <col min="21" max="16384" width="11.42578125" style="1"/>
  </cols>
  <sheetData>
    <row r="1" spans="1:21" ht="14.25" x14ac:dyDescent="0.2">
      <c r="L1" s="1"/>
    </row>
    <row r="2" spans="1:21" ht="14.25" x14ac:dyDescent="0.2">
      <c r="L2" s="1"/>
    </row>
    <row r="3" spans="1:21" ht="14.25" x14ac:dyDescent="0.2">
      <c r="L3" s="1"/>
    </row>
    <row r="4" spans="1:21" ht="14.25" x14ac:dyDescent="0.2">
      <c r="L4" s="1"/>
    </row>
    <row r="5" spans="1:21" ht="14.25" x14ac:dyDescent="0.2">
      <c r="L5" s="1" t="s">
        <v>90</v>
      </c>
      <c r="R5" s="18" t="s">
        <v>89</v>
      </c>
    </row>
    <row r="6" spans="1:21" ht="14.25" x14ac:dyDescent="0.2">
      <c r="L6" s="1" t="s">
        <v>91</v>
      </c>
      <c r="R6" s="18" t="s">
        <v>89</v>
      </c>
    </row>
    <row r="7" spans="1:21" ht="14.25" x14ac:dyDescent="0.2">
      <c r="L7" s="1" t="s">
        <v>87</v>
      </c>
    </row>
    <row r="8" spans="1:21" ht="14.25" x14ac:dyDescent="0.2">
      <c r="L8" s="1"/>
    </row>
    <row r="9" spans="1:21" ht="14.25" x14ac:dyDescent="0.2">
      <c r="L9" s="1"/>
    </row>
    <row r="10" spans="1:21" ht="14.25" x14ac:dyDescent="0.2">
      <c r="A10" s="1" t="s">
        <v>24</v>
      </c>
      <c r="B10" s="18" t="s">
        <v>99</v>
      </c>
      <c r="L10" s="1"/>
    </row>
    <row r="11" spans="1:21" ht="14.25" x14ac:dyDescent="0.2">
      <c r="L11" s="12" t="s">
        <v>83</v>
      </c>
      <c r="M11" s="13"/>
      <c r="N11" s="13"/>
      <c r="O11" s="13" t="s">
        <v>69</v>
      </c>
      <c r="P11" s="13">
        <f>IF(AND(R5="Oui",R6="Non"),H97,0)</f>
        <v>0</v>
      </c>
      <c r="Q11" s="13" t="s">
        <v>84</v>
      </c>
      <c r="R11" s="13">
        <f>IF(R5="Oui",H47,0)</f>
        <v>22154</v>
      </c>
      <c r="S11" s="13" t="s">
        <v>85</v>
      </c>
      <c r="T11" s="13">
        <f>P11/10+R11/4</f>
        <v>5538.5</v>
      </c>
      <c r="U11" s="13" t="s">
        <v>70</v>
      </c>
    </row>
    <row r="12" spans="1:21" ht="14.25" x14ac:dyDescent="0.2">
      <c r="A12" s="21" t="s">
        <v>127</v>
      </c>
      <c r="B12" s="20"/>
      <c r="L12" s="12" t="s">
        <v>86</v>
      </c>
      <c r="M12" s="13"/>
      <c r="N12" s="13"/>
      <c r="O12" s="13" t="s">
        <v>69</v>
      </c>
      <c r="P12" s="13">
        <f>IF(AND(R5="Non",R6="Oui"),H47,0)</f>
        <v>0</v>
      </c>
      <c r="Q12" s="13" t="s">
        <v>84</v>
      </c>
      <c r="R12" s="13">
        <f>IF(R6="Oui",H97,0)</f>
        <v>67932</v>
      </c>
      <c r="S12" s="13" t="s">
        <v>85</v>
      </c>
      <c r="T12" s="13">
        <f>P12/10+R12/4</f>
        <v>16983</v>
      </c>
      <c r="U12" s="13" t="s">
        <v>70</v>
      </c>
    </row>
    <row r="13" spans="1:21" ht="14.25" x14ac:dyDescent="0.2">
      <c r="A13" s="18" t="s">
        <v>123</v>
      </c>
      <c r="L13" s="1"/>
    </row>
    <row r="14" spans="1:21" ht="14.25" x14ac:dyDescent="0.2">
      <c r="A14" s="19">
        <v>7500</v>
      </c>
      <c r="B14" s="1" t="s">
        <v>66</v>
      </c>
      <c r="C14" s="19">
        <v>7125</v>
      </c>
      <c r="D14" s="1" t="s">
        <v>48</v>
      </c>
      <c r="E14" s="1">
        <f>A14-C14</f>
        <v>375</v>
      </c>
      <c r="F14" s="1" t="s">
        <v>100</v>
      </c>
      <c r="G14" s="1" t="s">
        <v>11</v>
      </c>
      <c r="H14" s="15">
        <f>8*E14</f>
        <v>3000</v>
      </c>
      <c r="I14" s="1" t="s">
        <v>67</v>
      </c>
      <c r="L14" s="1"/>
    </row>
    <row r="15" spans="1:21" ht="14.25" x14ac:dyDescent="0.2">
      <c r="A15" s="19">
        <v>16375</v>
      </c>
      <c r="B15" s="1" t="s">
        <v>66</v>
      </c>
      <c r="C15" s="19">
        <v>15556</v>
      </c>
      <c r="D15" s="1" t="s">
        <v>48</v>
      </c>
      <c r="E15" s="1">
        <f t="shared" ref="E15:E19" si="0">A15-C15</f>
        <v>819</v>
      </c>
      <c r="F15" s="1" t="s">
        <v>17</v>
      </c>
      <c r="G15" s="1" t="s">
        <v>11</v>
      </c>
      <c r="H15" s="15">
        <f>12*E15</f>
        <v>9828</v>
      </c>
      <c r="I15" s="1" t="s">
        <v>67</v>
      </c>
      <c r="L15" s="1"/>
    </row>
    <row r="16" spans="1:21" ht="14.25" x14ac:dyDescent="0.2">
      <c r="A16" s="19">
        <v>1980</v>
      </c>
      <c r="B16" s="1" t="s">
        <v>66</v>
      </c>
      <c r="C16" s="19">
        <v>1881</v>
      </c>
      <c r="D16" s="1" t="s">
        <v>48</v>
      </c>
      <c r="E16" s="1">
        <f t="shared" si="0"/>
        <v>99</v>
      </c>
      <c r="F16" s="1" t="s">
        <v>125</v>
      </c>
      <c r="G16" s="1" t="s">
        <v>11</v>
      </c>
      <c r="H16" s="15">
        <f>14*E16</f>
        <v>1386</v>
      </c>
      <c r="I16" s="1" t="s">
        <v>67</v>
      </c>
      <c r="L16" s="1"/>
    </row>
    <row r="17" spans="1:12" ht="14.25" x14ac:dyDescent="0.2">
      <c r="A17" s="19">
        <v>6955</v>
      </c>
      <c r="B17" s="1" t="s">
        <v>66</v>
      </c>
      <c r="C17" s="19">
        <v>6607</v>
      </c>
      <c r="D17" s="1" t="s">
        <v>48</v>
      </c>
      <c r="E17" s="1">
        <f t="shared" si="0"/>
        <v>348</v>
      </c>
      <c r="F17" s="1" t="s">
        <v>15</v>
      </c>
      <c r="G17" s="1" t="s">
        <v>11</v>
      </c>
      <c r="H17" s="15">
        <f>10*E17</f>
        <v>3480</v>
      </c>
      <c r="I17" s="1" t="s">
        <v>67</v>
      </c>
      <c r="L17" s="1"/>
    </row>
    <row r="18" spans="1:12" ht="14.25" x14ac:dyDescent="0.2">
      <c r="A18" s="19">
        <v>448</v>
      </c>
      <c r="B18" s="1" t="s">
        <v>66</v>
      </c>
      <c r="C18" s="19">
        <v>426</v>
      </c>
      <c r="D18" s="1" t="s">
        <v>48</v>
      </c>
      <c r="E18" s="1">
        <f t="shared" si="0"/>
        <v>22</v>
      </c>
      <c r="F18" s="1" t="s">
        <v>102</v>
      </c>
      <c r="G18" s="1" t="s">
        <v>11</v>
      </c>
      <c r="H18" s="15">
        <f>150*E18</f>
        <v>3300</v>
      </c>
      <c r="I18" s="1" t="s">
        <v>67</v>
      </c>
      <c r="L18" s="1"/>
    </row>
    <row r="19" spans="1:12" ht="14.25" x14ac:dyDescent="0.2">
      <c r="A19" s="19">
        <v>590</v>
      </c>
      <c r="B19" s="1" t="s">
        <v>66</v>
      </c>
      <c r="C19" s="19">
        <v>561</v>
      </c>
      <c r="D19" s="1" t="s">
        <v>48</v>
      </c>
      <c r="E19" s="1">
        <f t="shared" si="0"/>
        <v>29</v>
      </c>
      <c r="F19" s="1" t="s">
        <v>126</v>
      </c>
      <c r="G19" s="1" t="s">
        <v>11</v>
      </c>
      <c r="H19" s="15">
        <f>40*E19</f>
        <v>1160</v>
      </c>
      <c r="I19" s="1" t="s">
        <v>67</v>
      </c>
      <c r="L19" s="1"/>
    </row>
    <row r="21" spans="1:12" x14ac:dyDescent="0.25">
      <c r="A21" s="1" t="s">
        <v>68</v>
      </c>
      <c r="E21" s="1" t="str">
        <f>A12</f>
        <v>Les Sentinelles du Bosquet + L'Écu de Chêne</v>
      </c>
      <c r="G21" s="31" t="s">
        <v>69</v>
      </c>
      <c r="H21" s="12">
        <f>H14+H15+H16+H17+H18+H19</f>
        <v>22154</v>
      </c>
      <c r="I21" s="8" t="s">
        <v>70</v>
      </c>
    </row>
    <row r="24" spans="1:12" x14ac:dyDescent="0.25">
      <c r="A24" s="21" t="s">
        <v>21</v>
      </c>
      <c r="B24" s="20"/>
    </row>
    <row r="25" spans="1:12" x14ac:dyDescent="0.25">
      <c r="A25" s="18" t="s">
        <v>19</v>
      </c>
    </row>
    <row r="26" spans="1:12" x14ac:dyDescent="0.25">
      <c r="A26" s="19"/>
      <c r="B26" s="1" t="s">
        <v>66</v>
      </c>
      <c r="C26" s="19"/>
      <c r="D26" s="1" t="s">
        <v>48</v>
      </c>
      <c r="E26" s="1">
        <f>A26-C26</f>
        <v>0</v>
      </c>
      <c r="F26" s="1" t="s">
        <v>18</v>
      </c>
      <c r="G26" s="1" t="s">
        <v>11</v>
      </c>
      <c r="H26" s="15">
        <f>8*E26</f>
        <v>0</v>
      </c>
      <c r="I26" s="1" t="s">
        <v>67</v>
      </c>
    </row>
    <row r="27" spans="1:12" x14ac:dyDescent="0.25">
      <c r="A27" s="19"/>
      <c r="B27" s="1" t="s">
        <v>66</v>
      </c>
      <c r="C27" s="19"/>
      <c r="D27" s="1" t="s">
        <v>48</v>
      </c>
      <c r="E27" s="1">
        <f t="shared" ref="E27:E31" si="1">A27-C27</f>
        <v>0</v>
      </c>
      <c r="F27" s="1" t="s">
        <v>17</v>
      </c>
      <c r="G27" s="1" t="s">
        <v>11</v>
      </c>
      <c r="H27" s="15">
        <f>12*E27</f>
        <v>0</v>
      </c>
      <c r="I27" s="1" t="s">
        <v>67</v>
      </c>
    </row>
    <row r="28" spans="1:12" x14ac:dyDescent="0.25">
      <c r="A28" s="19"/>
      <c r="B28" s="1" t="s">
        <v>66</v>
      </c>
      <c r="C28" s="19"/>
      <c r="D28" s="1" t="s">
        <v>48</v>
      </c>
      <c r="E28" s="1">
        <f t="shared" si="1"/>
        <v>0</v>
      </c>
      <c r="F28" s="1" t="s">
        <v>16</v>
      </c>
      <c r="G28" s="1" t="s">
        <v>11</v>
      </c>
      <c r="H28" s="15">
        <f>14*E28</f>
        <v>0</v>
      </c>
      <c r="I28" s="1" t="s">
        <v>67</v>
      </c>
    </row>
    <row r="29" spans="1:12" x14ac:dyDescent="0.25">
      <c r="A29" s="19"/>
      <c r="B29" s="1" t="s">
        <v>66</v>
      </c>
      <c r="C29" s="19"/>
      <c r="D29" s="1" t="s">
        <v>48</v>
      </c>
      <c r="E29" s="1">
        <f t="shared" si="1"/>
        <v>0</v>
      </c>
      <c r="F29" s="1" t="s">
        <v>15</v>
      </c>
      <c r="G29" s="1" t="s">
        <v>11</v>
      </c>
      <c r="H29" s="15">
        <f>10*E29</f>
        <v>0</v>
      </c>
      <c r="I29" s="1" t="s">
        <v>67</v>
      </c>
    </row>
    <row r="30" spans="1:12" x14ac:dyDescent="0.25">
      <c r="A30" s="19"/>
      <c r="B30" s="1" t="s">
        <v>66</v>
      </c>
      <c r="C30" s="19"/>
      <c r="D30" s="1" t="s">
        <v>48</v>
      </c>
      <c r="E30" s="1">
        <f t="shared" si="1"/>
        <v>0</v>
      </c>
      <c r="F30" s="1" t="s">
        <v>14</v>
      </c>
      <c r="G30" s="1" t="s">
        <v>11</v>
      </c>
      <c r="H30" s="15">
        <f>150*E30</f>
        <v>0</v>
      </c>
      <c r="I30" s="1" t="s">
        <v>67</v>
      </c>
    </row>
    <row r="31" spans="1:12" x14ac:dyDescent="0.25">
      <c r="A31" s="19"/>
      <c r="B31" s="1" t="s">
        <v>66</v>
      </c>
      <c r="C31" s="19"/>
      <c r="D31" s="1" t="s">
        <v>48</v>
      </c>
      <c r="E31" s="1">
        <f t="shared" si="1"/>
        <v>0</v>
      </c>
      <c r="F31" s="1" t="s">
        <v>12</v>
      </c>
      <c r="G31" s="1" t="s">
        <v>11</v>
      </c>
      <c r="H31" s="15">
        <f>40*E31</f>
        <v>0</v>
      </c>
      <c r="I31" s="1" t="s">
        <v>67</v>
      </c>
    </row>
    <row r="33" spans="1:9" x14ac:dyDescent="0.25">
      <c r="A33" s="1" t="s">
        <v>68</v>
      </c>
      <c r="E33" s="1" t="str">
        <f>A24</f>
        <v># Nom de l'Armée #2</v>
      </c>
      <c r="G33" s="31" t="s">
        <v>69</v>
      </c>
      <c r="H33" s="12">
        <f>H26+H27+H28+H29+H30+H31</f>
        <v>0</v>
      </c>
      <c r="I33" s="8" t="s">
        <v>70</v>
      </c>
    </row>
    <row r="36" spans="1:9" x14ac:dyDescent="0.25">
      <c r="A36" s="21" t="s">
        <v>20</v>
      </c>
      <c r="B36" s="20"/>
    </row>
    <row r="37" spans="1:9" x14ac:dyDescent="0.25">
      <c r="A37" s="18" t="s">
        <v>19</v>
      </c>
    </row>
    <row r="38" spans="1:9" x14ac:dyDescent="0.25">
      <c r="A38" s="19"/>
      <c r="B38" s="1" t="s">
        <v>66</v>
      </c>
      <c r="C38" s="19"/>
      <c r="D38" s="1" t="s">
        <v>48</v>
      </c>
      <c r="E38" s="1">
        <f>A38-C38</f>
        <v>0</v>
      </c>
      <c r="F38" s="1" t="s">
        <v>18</v>
      </c>
      <c r="G38" s="1" t="s">
        <v>11</v>
      </c>
      <c r="H38" s="15">
        <f>8*E38</f>
        <v>0</v>
      </c>
      <c r="I38" s="1" t="s">
        <v>67</v>
      </c>
    </row>
    <row r="39" spans="1:9" x14ac:dyDescent="0.25">
      <c r="A39" s="19"/>
      <c r="B39" s="1" t="s">
        <v>66</v>
      </c>
      <c r="C39" s="19"/>
      <c r="D39" s="1" t="s">
        <v>48</v>
      </c>
      <c r="E39" s="1">
        <f t="shared" ref="E39:E43" si="2">A39-C39</f>
        <v>0</v>
      </c>
      <c r="F39" s="1" t="s">
        <v>17</v>
      </c>
      <c r="G39" s="1" t="s">
        <v>11</v>
      </c>
      <c r="H39" s="15">
        <f>12*E39</f>
        <v>0</v>
      </c>
      <c r="I39" s="1" t="s">
        <v>67</v>
      </c>
    </row>
    <row r="40" spans="1:9" x14ac:dyDescent="0.25">
      <c r="A40" s="19"/>
      <c r="B40" s="1" t="s">
        <v>66</v>
      </c>
      <c r="C40" s="19"/>
      <c r="D40" s="1" t="s">
        <v>48</v>
      </c>
      <c r="E40" s="1">
        <f t="shared" si="2"/>
        <v>0</v>
      </c>
      <c r="F40" s="1" t="s">
        <v>16</v>
      </c>
      <c r="G40" s="1" t="s">
        <v>11</v>
      </c>
      <c r="H40" s="15">
        <f>14*E40</f>
        <v>0</v>
      </c>
      <c r="I40" s="1" t="s">
        <v>67</v>
      </c>
    </row>
    <row r="41" spans="1:9" x14ac:dyDescent="0.25">
      <c r="A41" s="19"/>
      <c r="B41" s="1" t="s">
        <v>66</v>
      </c>
      <c r="C41" s="19"/>
      <c r="D41" s="1" t="s">
        <v>48</v>
      </c>
      <c r="E41" s="1">
        <f t="shared" si="2"/>
        <v>0</v>
      </c>
      <c r="F41" s="1" t="s">
        <v>15</v>
      </c>
      <c r="G41" s="1" t="s">
        <v>11</v>
      </c>
      <c r="H41" s="15">
        <f>10*E41</f>
        <v>0</v>
      </c>
      <c r="I41" s="1" t="s">
        <v>67</v>
      </c>
    </row>
    <row r="42" spans="1:9" x14ac:dyDescent="0.25">
      <c r="A42" s="19"/>
      <c r="B42" s="1" t="s">
        <v>66</v>
      </c>
      <c r="C42" s="19"/>
      <c r="D42" s="1" t="s">
        <v>48</v>
      </c>
      <c r="E42" s="1">
        <f t="shared" si="2"/>
        <v>0</v>
      </c>
      <c r="F42" s="1" t="s">
        <v>14</v>
      </c>
      <c r="G42" s="1" t="s">
        <v>11</v>
      </c>
      <c r="H42" s="15">
        <f>150*E42</f>
        <v>0</v>
      </c>
      <c r="I42" s="1" t="s">
        <v>67</v>
      </c>
    </row>
    <row r="43" spans="1:9" x14ac:dyDescent="0.25">
      <c r="A43" s="19"/>
      <c r="B43" s="1" t="s">
        <v>66</v>
      </c>
      <c r="C43" s="19"/>
      <c r="D43" s="1" t="s">
        <v>48</v>
      </c>
      <c r="E43" s="1">
        <f t="shared" si="2"/>
        <v>0</v>
      </c>
      <c r="F43" s="1" t="s">
        <v>12</v>
      </c>
      <c r="G43" s="1" t="s">
        <v>11</v>
      </c>
      <c r="H43" s="15">
        <f>40*E43</f>
        <v>0</v>
      </c>
      <c r="I43" s="1" t="s">
        <v>67</v>
      </c>
    </row>
    <row r="44" spans="1:9" x14ac:dyDescent="0.25">
      <c r="A44" s="19"/>
      <c r="C44" s="19"/>
      <c r="H44" s="15"/>
    </row>
    <row r="45" spans="1:9" x14ac:dyDescent="0.25">
      <c r="A45" s="1" t="s">
        <v>68</v>
      </c>
      <c r="E45" s="1" t="str">
        <f>A36</f>
        <v># Nom de l'Armée #3</v>
      </c>
      <c r="G45" s="31" t="s">
        <v>69</v>
      </c>
      <c r="H45" s="12">
        <f>H38+H39+H40+H41+H42+H43</f>
        <v>0</v>
      </c>
      <c r="I45" s="8" t="s">
        <v>70</v>
      </c>
    </row>
    <row r="47" spans="1:9" x14ac:dyDescent="0.25">
      <c r="A47" s="8" t="s">
        <v>93</v>
      </c>
      <c r="B47" s="8"/>
      <c r="C47" s="8"/>
      <c r="D47" s="8"/>
      <c r="E47" s="8"/>
      <c r="H47" s="12">
        <f>H21+H33+H45</f>
        <v>22154</v>
      </c>
      <c r="I47" s="8" t="s">
        <v>70</v>
      </c>
    </row>
    <row r="48" spans="1:9" x14ac:dyDescent="0.25">
      <c r="A48" s="8"/>
      <c r="B48" s="8"/>
      <c r="C48" s="8"/>
      <c r="D48" s="8"/>
      <c r="E48" s="8"/>
      <c r="G48" s="12"/>
      <c r="H48" s="8"/>
    </row>
    <row r="49" spans="1:12" ht="14.25" x14ac:dyDescent="0.2">
      <c r="A49" s="7" t="s">
        <v>71</v>
      </c>
      <c r="F49" s="12">
        <f>H47</f>
        <v>22154</v>
      </c>
      <c r="G49" s="8" t="s">
        <v>72</v>
      </c>
      <c r="H49" s="8">
        <f>1+C52/100+C51/100</f>
        <v>1.5</v>
      </c>
      <c r="I49" s="8" t="s">
        <v>72</v>
      </c>
      <c r="J49" s="8">
        <f>IF(C54="",1,C54)</f>
        <v>1</v>
      </c>
      <c r="K49" s="8" t="s">
        <v>48</v>
      </c>
      <c r="L49" s="12">
        <f>F49*H49*J49</f>
        <v>33231</v>
      </c>
    </row>
    <row r="50" spans="1:12" x14ac:dyDescent="0.25">
      <c r="A50" s="1" t="s">
        <v>73</v>
      </c>
    </row>
    <row r="51" spans="1:12" x14ac:dyDescent="0.25">
      <c r="A51" s="1" t="s">
        <v>81</v>
      </c>
      <c r="B51" s="1" t="s">
        <v>34</v>
      </c>
      <c r="C51" s="18">
        <v>50</v>
      </c>
      <c r="D51" s="1" t="s">
        <v>6</v>
      </c>
      <c r="E51" s="1" t="s">
        <v>76</v>
      </c>
      <c r="F51" s="1" t="s">
        <v>79</v>
      </c>
    </row>
    <row r="52" spans="1:12" x14ac:dyDescent="0.25">
      <c r="A52" s="1" t="s">
        <v>81</v>
      </c>
      <c r="B52" s="1" t="s">
        <v>34</v>
      </c>
      <c r="C52" s="18"/>
      <c r="D52" s="1" t="s">
        <v>6</v>
      </c>
      <c r="E52" s="1" t="s">
        <v>76</v>
      </c>
      <c r="F52" s="1" t="s">
        <v>82</v>
      </c>
    </row>
    <row r="53" spans="1:12" x14ac:dyDescent="0.25">
      <c r="A53" s="1" t="s">
        <v>74</v>
      </c>
    </row>
    <row r="54" spans="1:12" x14ac:dyDescent="0.25">
      <c r="A54" s="1" t="s">
        <v>81</v>
      </c>
      <c r="B54" s="1" t="s">
        <v>75</v>
      </c>
      <c r="C54" s="18"/>
      <c r="E54" s="1" t="s">
        <v>77</v>
      </c>
    </row>
    <row r="56" spans="1:12" x14ac:dyDescent="0.25">
      <c r="C56"/>
    </row>
    <row r="58" spans="1:12" ht="3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</row>
    <row r="60" spans="1:12" x14ac:dyDescent="0.25">
      <c r="A60" s="1" t="s">
        <v>24</v>
      </c>
      <c r="B60" s="18" t="s">
        <v>124</v>
      </c>
    </row>
    <row r="62" spans="1:12" x14ac:dyDescent="0.25">
      <c r="A62" s="21" t="s">
        <v>131</v>
      </c>
      <c r="B62" s="20"/>
    </row>
    <row r="63" spans="1:12" x14ac:dyDescent="0.25">
      <c r="A63" s="18"/>
    </row>
    <row r="64" spans="1:12" x14ac:dyDescent="0.25">
      <c r="A64" s="19">
        <v>2700</v>
      </c>
      <c r="B64" s="1" t="s">
        <v>66</v>
      </c>
      <c r="C64" s="19">
        <v>1188</v>
      </c>
      <c r="D64" s="1" t="s">
        <v>48</v>
      </c>
      <c r="E64" s="1">
        <f>A64-C64</f>
        <v>1512</v>
      </c>
      <c r="F64" s="1" t="s">
        <v>18</v>
      </c>
      <c r="G64" s="1" t="s">
        <v>11</v>
      </c>
      <c r="H64" s="15">
        <f>8*E64</f>
        <v>12096</v>
      </c>
      <c r="I64" s="1" t="s">
        <v>67</v>
      </c>
    </row>
    <row r="65" spans="1:13" x14ac:dyDescent="0.25">
      <c r="A65" s="19">
        <v>1800</v>
      </c>
      <c r="B65" s="1" t="s">
        <v>66</v>
      </c>
      <c r="C65" s="19">
        <v>792</v>
      </c>
      <c r="D65" s="1" t="s">
        <v>48</v>
      </c>
      <c r="E65" s="1">
        <f t="shared" ref="E65:E69" si="3">A65-C65</f>
        <v>1008</v>
      </c>
      <c r="F65" s="1" t="s">
        <v>17</v>
      </c>
      <c r="G65" s="1" t="s">
        <v>11</v>
      </c>
      <c r="H65" s="15">
        <f>12*E65</f>
        <v>12096</v>
      </c>
      <c r="I65" s="1" t="s">
        <v>67</v>
      </c>
    </row>
    <row r="66" spans="1:13" x14ac:dyDescent="0.25">
      <c r="A66" s="19">
        <v>1500</v>
      </c>
      <c r="B66" s="1" t="s">
        <v>66</v>
      </c>
      <c r="C66" s="19">
        <v>660</v>
      </c>
      <c r="D66" s="1" t="s">
        <v>48</v>
      </c>
      <c r="E66" s="1">
        <f t="shared" si="3"/>
        <v>840</v>
      </c>
      <c r="F66" s="1" t="s">
        <v>16</v>
      </c>
      <c r="G66" s="1" t="s">
        <v>11</v>
      </c>
      <c r="H66" s="15">
        <f>14*E66</f>
        <v>11760</v>
      </c>
      <c r="I66" s="1" t="s">
        <v>67</v>
      </c>
    </row>
    <row r="67" spans="1:13" x14ac:dyDescent="0.25">
      <c r="A67" s="19">
        <v>2000</v>
      </c>
      <c r="B67" s="1" t="s">
        <v>66</v>
      </c>
      <c r="C67" s="19">
        <v>880</v>
      </c>
      <c r="D67" s="1" t="s">
        <v>48</v>
      </c>
      <c r="E67" s="1">
        <f t="shared" si="3"/>
        <v>1120</v>
      </c>
      <c r="F67" s="1" t="s">
        <v>15</v>
      </c>
      <c r="G67" s="1" t="s">
        <v>11</v>
      </c>
      <c r="H67" s="15">
        <f>10*E67</f>
        <v>11200</v>
      </c>
      <c r="I67" s="1" t="s">
        <v>67</v>
      </c>
    </row>
    <row r="68" spans="1:13" x14ac:dyDescent="0.25">
      <c r="A68" s="19">
        <v>140</v>
      </c>
      <c r="B68" s="1" t="s">
        <v>66</v>
      </c>
      <c r="C68" s="19">
        <v>62</v>
      </c>
      <c r="D68" s="1" t="s">
        <v>48</v>
      </c>
      <c r="E68" s="1">
        <f t="shared" si="3"/>
        <v>78</v>
      </c>
      <c r="F68" s="1" t="s">
        <v>14</v>
      </c>
      <c r="G68" s="1" t="s">
        <v>11</v>
      </c>
      <c r="H68" s="15">
        <f>150*E68</f>
        <v>11700</v>
      </c>
      <c r="I68" s="1" t="s">
        <v>67</v>
      </c>
    </row>
    <row r="69" spans="1:13" x14ac:dyDescent="0.25">
      <c r="A69" s="19">
        <v>405</v>
      </c>
      <c r="B69" s="1" t="s">
        <v>66</v>
      </c>
      <c r="C69" s="19">
        <v>178</v>
      </c>
      <c r="D69" s="1" t="s">
        <v>48</v>
      </c>
      <c r="E69" s="1">
        <f t="shared" si="3"/>
        <v>227</v>
      </c>
      <c r="F69" s="1" t="s">
        <v>12</v>
      </c>
      <c r="G69" s="1" t="s">
        <v>11</v>
      </c>
      <c r="H69" s="15">
        <f>40*E69</f>
        <v>9080</v>
      </c>
      <c r="I69" s="1" t="s">
        <v>67</v>
      </c>
    </row>
    <row r="70" spans="1:13" x14ac:dyDescent="0.25">
      <c r="M70" s="1">
        <v>178</v>
      </c>
    </row>
    <row r="71" spans="1:13" x14ac:dyDescent="0.25">
      <c r="A71" s="1" t="s">
        <v>68</v>
      </c>
      <c r="E71" s="1" t="str">
        <f>A62</f>
        <v>Les Panthères des Sables</v>
      </c>
      <c r="G71" s="31" t="s">
        <v>69</v>
      </c>
      <c r="H71" s="12">
        <f>H64+H65+H66+H67+H68+H69</f>
        <v>67932</v>
      </c>
      <c r="I71" s="8" t="s">
        <v>70</v>
      </c>
    </row>
    <row r="74" spans="1:13" x14ac:dyDescent="0.25">
      <c r="A74" s="21" t="s">
        <v>21</v>
      </c>
      <c r="B74" s="20"/>
    </row>
    <row r="75" spans="1:13" x14ac:dyDescent="0.25">
      <c r="A75" s="18" t="s">
        <v>19</v>
      </c>
    </row>
    <row r="76" spans="1:13" x14ac:dyDescent="0.25">
      <c r="A76" s="19"/>
      <c r="B76" s="1" t="s">
        <v>66</v>
      </c>
      <c r="C76" s="19"/>
      <c r="D76" s="1" t="s">
        <v>48</v>
      </c>
      <c r="E76" s="1">
        <f>A76-C76</f>
        <v>0</v>
      </c>
      <c r="F76" s="1" t="s">
        <v>18</v>
      </c>
      <c r="G76" s="1" t="s">
        <v>11</v>
      </c>
      <c r="H76" s="15">
        <f>8*E76</f>
        <v>0</v>
      </c>
      <c r="I76" s="1" t="s">
        <v>67</v>
      </c>
    </row>
    <row r="77" spans="1:13" x14ac:dyDescent="0.25">
      <c r="A77" s="19"/>
      <c r="B77" s="1" t="s">
        <v>66</v>
      </c>
      <c r="C77" s="19"/>
      <c r="D77" s="1" t="s">
        <v>48</v>
      </c>
      <c r="E77" s="1">
        <f t="shared" ref="E77:E81" si="4">A77-C77</f>
        <v>0</v>
      </c>
      <c r="F77" s="1" t="s">
        <v>17</v>
      </c>
      <c r="G77" s="1" t="s">
        <v>11</v>
      </c>
      <c r="H77" s="15">
        <f>12*E77</f>
        <v>0</v>
      </c>
      <c r="I77" s="1" t="s">
        <v>67</v>
      </c>
    </row>
    <row r="78" spans="1:13" x14ac:dyDescent="0.25">
      <c r="A78" s="19"/>
      <c r="B78" s="1" t="s">
        <v>66</v>
      </c>
      <c r="C78" s="19"/>
      <c r="D78" s="1" t="s">
        <v>48</v>
      </c>
      <c r="E78" s="1">
        <f t="shared" si="4"/>
        <v>0</v>
      </c>
      <c r="F78" s="1" t="s">
        <v>16</v>
      </c>
      <c r="G78" s="1" t="s">
        <v>11</v>
      </c>
      <c r="H78" s="15">
        <f>14*E78</f>
        <v>0</v>
      </c>
      <c r="I78" s="1" t="s">
        <v>67</v>
      </c>
    </row>
    <row r="79" spans="1:13" x14ac:dyDescent="0.25">
      <c r="A79" s="19"/>
      <c r="B79" s="1" t="s">
        <v>66</v>
      </c>
      <c r="C79" s="19"/>
      <c r="D79" s="1" t="s">
        <v>48</v>
      </c>
      <c r="E79" s="1">
        <f t="shared" si="4"/>
        <v>0</v>
      </c>
      <c r="F79" s="1" t="s">
        <v>15</v>
      </c>
      <c r="G79" s="1" t="s">
        <v>11</v>
      </c>
      <c r="H79" s="15">
        <f>10*E79</f>
        <v>0</v>
      </c>
      <c r="I79" s="1" t="s">
        <v>67</v>
      </c>
    </row>
    <row r="80" spans="1:13" x14ac:dyDescent="0.25">
      <c r="A80" s="19"/>
      <c r="B80" s="1" t="s">
        <v>66</v>
      </c>
      <c r="C80" s="19"/>
      <c r="D80" s="1" t="s">
        <v>48</v>
      </c>
      <c r="E80" s="1">
        <f t="shared" si="4"/>
        <v>0</v>
      </c>
      <c r="F80" s="1" t="s">
        <v>14</v>
      </c>
      <c r="G80" s="1" t="s">
        <v>11</v>
      </c>
      <c r="H80" s="15">
        <f>150*E80</f>
        <v>0</v>
      </c>
      <c r="I80" s="1" t="s">
        <v>67</v>
      </c>
    </row>
    <row r="81" spans="1:9" x14ac:dyDescent="0.25">
      <c r="A81" s="19"/>
      <c r="B81" s="1" t="s">
        <v>66</v>
      </c>
      <c r="C81" s="19"/>
      <c r="D81" s="1" t="s">
        <v>48</v>
      </c>
      <c r="E81" s="1">
        <f t="shared" si="4"/>
        <v>0</v>
      </c>
      <c r="F81" s="1" t="s">
        <v>12</v>
      </c>
      <c r="G81" s="1" t="s">
        <v>11</v>
      </c>
      <c r="H81" s="15">
        <f>40*E81</f>
        <v>0</v>
      </c>
      <c r="I81" s="1" t="s">
        <v>67</v>
      </c>
    </row>
    <row r="83" spans="1:9" x14ac:dyDescent="0.25">
      <c r="A83" s="1" t="s">
        <v>68</v>
      </c>
      <c r="E83" s="1" t="str">
        <f>A74</f>
        <v># Nom de l'Armée #2</v>
      </c>
      <c r="G83" s="31" t="s">
        <v>69</v>
      </c>
      <c r="H83" s="12">
        <f>H76+H77+H78+H79+H80+H81</f>
        <v>0</v>
      </c>
      <c r="I83" s="8" t="s">
        <v>70</v>
      </c>
    </row>
    <row r="86" spans="1:9" x14ac:dyDescent="0.25">
      <c r="A86" s="21" t="s">
        <v>20</v>
      </c>
      <c r="B86" s="20"/>
    </row>
    <row r="87" spans="1:9" x14ac:dyDescent="0.25">
      <c r="A87" s="18" t="s">
        <v>19</v>
      </c>
    </row>
    <row r="88" spans="1:9" x14ac:dyDescent="0.25">
      <c r="A88" s="19"/>
      <c r="B88" s="1" t="s">
        <v>66</v>
      </c>
      <c r="C88" s="19"/>
      <c r="D88" s="1" t="s">
        <v>48</v>
      </c>
      <c r="E88" s="1">
        <f>A88-C88</f>
        <v>0</v>
      </c>
      <c r="F88" s="1" t="s">
        <v>18</v>
      </c>
      <c r="G88" s="1" t="s">
        <v>11</v>
      </c>
      <c r="H88" s="15">
        <f>8*E88</f>
        <v>0</v>
      </c>
      <c r="I88" s="1" t="s">
        <v>67</v>
      </c>
    </row>
    <row r="89" spans="1:9" x14ac:dyDescent="0.25">
      <c r="A89" s="19"/>
      <c r="B89" s="1" t="s">
        <v>66</v>
      </c>
      <c r="C89" s="19"/>
      <c r="D89" s="1" t="s">
        <v>48</v>
      </c>
      <c r="E89" s="1">
        <f t="shared" ref="E89:E93" si="5">A89-C89</f>
        <v>0</v>
      </c>
      <c r="F89" s="1" t="s">
        <v>17</v>
      </c>
      <c r="G89" s="1" t="s">
        <v>11</v>
      </c>
      <c r="H89" s="15">
        <f>12*E89</f>
        <v>0</v>
      </c>
      <c r="I89" s="1" t="s">
        <v>67</v>
      </c>
    </row>
    <row r="90" spans="1:9" x14ac:dyDescent="0.25">
      <c r="A90" s="19"/>
      <c r="B90" s="1" t="s">
        <v>66</v>
      </c>
      <c r="C90" s="19"/>
      <c r="D90" s="1" t="s">
        <v>48</v>
      </c>
      <c r="E90" s="1">
        <f t="shared" si="5"/>
        <v>0</v>
      </c>
      <c r="F90" s="1" t="s">
        <v>16</v>
      </c>
      <c r="G90" s="1" t="s">
        <v>11</v>
      </c>
      <c r="H90" s="15">
        <f>14*E90</f>
        <v>0</v>
      </c>
      <c r="I90" s="1" t="s">
        <v>67</v>
      </c>
    </row>
    <row r="91" spans="1:9" x14ac:dyDescent="0.25">
      <c r="A91" s="19"/>
      <c r="B91" s="1" t="s">
        <v>66</v>
      </c>
      <c r="C91" s="19"/>
      <c r="D91" s="1" t="s">
        <v>48</v>
      </c>
      <c r="E91" s="1">
        <f t="shared" si="5"/>
        <v>0</v>
      </c>
      <c r="F91" s="1" t="s">
        <v>15</v>
      </c>
      <c r="G91" s="1" t="s">
        <v>11</v>
      </c>
      <c r="H91" s="15">
        <f>10*E91</f>
        <v>0</v>
      </c>
      <c r="I91" s="1" t="s">
        <v>67</v>
      </c>
    </row>
    <row r="92" spans="1:9" x14ac:dyDescent="0.25">
      <c r="A92" s="19"/>
      <c r="B92" s="1" t="s">
        <v>66</v>
      </c>
      <c r="C92" s="19"/>
      <c r="D92" s="1" t="s">
        <v>48</v>
      </c>
      <c r="E92" s="1">
        <f t="shared" si="5"/>
        <v>0</v>
      </c>
      <c r="F92" s="1" t="s">
        <v>14</v>
      </c>
      <c r="G92" s="1" t="s">
        <v>11</v>
      </c>
      <c r="H92" s="15">
        <f>150*E92</f>
        <v>0</v>
      </c>
      <c r="I92" s="1" t="s">
        <v>67</v>
      </c>
    </row>
    <row r="93" spans="1:9" x14ac:dyDescent="0.25">
      <c r="A93" s="19"/>
      <c r="B93" s="1" t="s">
        <v>66</v>
      </c>
      <c r="C93" s="19"/>
      <c r="D93" s="1" t="s">
        <v>48</v>
      </c>
      <c r="E93" s="1">
        <f t="shared" si="5"/>
        <v>0</v>
      </c>
      <c r="F93" s="1" t="s">
        <v>12</v>
      </c>
      <c r="G93" s="1" t="s">
        <v>11</v>
      </c>
      <c r="H93" s="15">
        <f>40*E93</f>
        <v>0</v>
      </c>
      <c r="I93" s="1" t="s">
        <v>67</v>
      </c>
    </row>
    <row r="95" spans="1:9" x14ac:dyDescent="0.25">
      <c r="A95" s="1" t="s">
        <v>68</v>
      </c>
      <c r="E95" s="1" t="str">
        <f>A86</f>
        <v># Nom de l'Armée #3</v>
      </c>
      <c r="G95" s="31" t="s">
        <v>69</v>
      </c>
      <c r="H95" s="12">
        <f>H88+H89+H90+H91+H92+H93</f>
        <v>0</v>
      </c>
      <c r="I95" s="8" t="s">
        <v>70</v>
      </c>
    </row>
    <row r="97" spans="1:12" x14ac:dyDescent="0.25">
      <c r="A97" s="8" t="s">
        <v>92</v>
      </c>
      <c r="B97" s="8"/>
      <c r="C97" s="8"/>
      <c r="D97" s="8"/>
      <c r="E97" s="8"/>
      <c r="H97" s="12">
        <f>H71+H83+H95</f>
        <v>67932</v>
      </c>
      <c r="I97" s="8" t="s">
        <v>70</v>
      </c>
    </row>
    <row r="98" spans="1:12" x14ac:dyDescent="0.25">
      <c r="A98" s="8"/>
      <c r="B98" s="8"/>
      <c r="C98" s="8"/>
      <c r="D98" s="8"/>
      <c r="E98" s="8"/>
      <c r="G98" s="12"/>
      <c r="H98" s="8"/>
    </row>
    <row r="99" spans="1:12" ht="14.25" x14ac:dyDescent="0.2">
      <c r="A99" s="7" t="s">
        <v>95</v>
      </c>
      <c r="F99" s="12">
        <f>H97</f>
        <v>67932</v>
      </c>
      <c r="G99" s="8" t="s">
        <v>72</v>
      </c>
      <c r="H99" s="8">
        <f>1+C101/100+C102/100</f>
        <v>2</v>
      </c>
      <c r="I99" s="8" t="s">
        <v>72</v>
      </c>
      <c r="J99" s="8">
        <f>IF(C104="",1,C104)</f>
        <v>1</v>
      </c>
      <c r="K99" s="8" t="s">
        <v>48</v>
      </c>
      <c r="L99" s="12">
        <f>F99*H99*J99</f>
        <v>135864</v>
      </c>
    </row>
    <row r="100" spans="1:12" x14ac:dyDescent="0.25">
      <c r="A100" s="1" t="s">
        <v>73</v>
      </c>
    </row>
    <row r="101" spans="1:12" x14ac:dyDescent="0.25">
      <c r="B101" s="1" t="s">
        <v>34</v>
      </c>
      <c r="C101" s="18"/>
      <c r="D101" s="1" t="s">
        <v>6</v>
      </c>
      <c r="E101" s="1" t="s">
        <v>76</v>
      </c>
      <c r="F101" s="1" t="s">
        <v>79</v>
      </c>
    </row>
    <row r="102" spans="1:12" x14ac:dyDescent="0.25">
      <c r="B102" s="1" t="s">
        <v>34</v>
      </c>
      <c r="C102" s="18">
        <v>100</v>
      </c>
      <c r="D102" s="1" t="s">
        <v>6</v>
      </c>
      <c r="E102" s="1" t="s">
        <v>76</v>
      </c>
      <c r="F102" s="1" t="s">
        <v>82</v>
      </c>
    </row>
    <row r="103" spans="1:12" x14ac:dyDescent="0.25">
      <c r="A103" s="1" t="s">
        <v>74</v>
      </c>
    </row>
    <row r="104" spans="1:12" x14ac:dyDescent="0.25">
      <c r="B104" s="1" t="s">
        <v>75</v>
      </c>
      <c r="C104" s="18"/>
      <c r="E104" s="1" t="s">
        <v>77</v>
      </c>
    </row>
  </sheetData>
  <conditionalFormatting sqref="R5:R6">
    <cfRule type="containsText" dxfId="5" priority="1" operator="containsText" text="Non">
      <formula>NOT(ISERROR(SEARCH("Non",R5)))</formula>
    </cfRule>
    <cfRule type="containsText" dxfId="4" priority="2" operator="containsText" text="Oui">
      <formula>NOT(ISERROR(SEARCH("Oui",R5)))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workbookViewId="0">
      <selection activeCell="U12" sqref="P12:U12"/>
    </sheetView>
  </sheetViews>
  <sheetFormatPr baseColWidth="10" defaultRowHeight="15" x14ac:dyDescent="0.25"/>
  <cols>
    <col min="1" max="1" width="11.42578125" style="1"/>
    <col min="2" max="2" width="2" style="1" customWidth="1"/>
    <col min="3" max="3" width="11.42578125" style="1"/>
    <col min="4" max="4" width="2.42578125" style="1" customWidth="1"/>
    <col min="5" max="5" width="10.140625" style="1" customWidth="1"/>
    <col min="6" max="6" width="16.7109375" style="1" customWidth="1"/>
    <col min="7" max="7" width="3.7109375" style="1" customWidth="1"/>
    <col min="8" max="9" width="11.42578125" style="1"/>
    <col min="10" max="10" width="6.85546875" style="1" customWidth="1"/>
    <col min="11" max="11" width="2.28515625" style="1" customWidth="1"/>
    <col min="12" max="12" width="11.5703125" customWidth="1"/>
    <col min="13" max="13" width="11.42578125" style="1"/>
    <col min="14" max="14" width="13.28515625" style="1" customWidth="1"/>
    <col min="15" max="15" width="1.5703125" style="1" customWidth="1"/>
    <col min="16" max="16" width="11.140625" style="1" customWidth="1"/>
    <col min="17" max="17" width="7.42578125" style="1" customWidth="1"/>
    <col min="18" max="18" width="11.140625" style="1" customWidth="1"/>
    <col min="19" max="19" width="5.42578125" style="1" customWidth="1"/>
    <col min="20" max="20" width="9" style="1" customWidth="1"/>
    <col min="21" max="16384" width="11.42578125" style="1"/>
  </cols>
  <sheetData>
    <row r="1" spans="1:21" ht="14.25" x14ac:dyDescent="0.2">
      <c r="L1" s="1"/>
    </row>
    <row r="2" spans="1:21" ht="14.25" x14ac:dyDescent="0.2">
      <c r="L2" s="1"/>
    </row>
    <row r="3" spans="1:21" ht="14.25" x14ac:dyDescent="0.2">
      <c r="L3" s="1"/>
    </row>
    <row r="4" spans="1:21" ht="14.25" x14ac:dyDescent="0.2">
      <c r="L4" s="1"/>
    </row>
    <row r="5" spans="1:21" ht="14.25" x14ac:dyDescent="0.2">
      <c r="L5" s="1" t="s">
        <v>90</v>
      </c>
      <c r="R5" s="18" t="s">
        <v>89</v>
      </c>
    </row>
    <row r="6" spans="1:21" ht="14.25" x14ac:dyDescent="0.2">
      <c r="L6" s="1" t="s">
        <v>91</v>
      </c>
      <c r="R6" s="18" t="s">
        <v>89</v>
      </c>
    </row>
    <row r="7" spans="1:21" ht="14.25" x14ac:dyDescent="0.2">
      <c r="L7" s="1" t="s">
        <v>87</v>
      </c>
    </row>
    <row r="8" spans="1:21" ht="14.25" x14ac:dyDescent="0.2">
      <c r="L8" s="1"/>
    </row>
    <row r="9" spans="1:21" ht="14.25" x14ac:dyDescent="0.2">
      <c r="L9" s="1"/>
    </row>
    <row r="10" spans="1:21" ht="14.25" x14ac:dyDescent="0.2">
      <c r="A10" s="1" t="s">
        <v>24</v>
      </c>
      <c r="B10" s="18" t="s">
        <v>99</v>
      </c>
      <c r="L10" s="1"/>
    </row>
    <row r="11" spans="1:21" ht="14.25" x14ac:dyDescent="0.2">
      <c r="L11" s="12" t="s">
        <v>83</v>
      </c>
      <c r="M11" s="13"/>
      <c r="N11" s="13"/>
      <c r="O11" s="13" t="s">
        <v>69</v>
      </c>
      <c r="P11" s="13">
        <f>IF(AND(R5="Oui",R6="Non"),H97,0)</f>
        <v>0</v>
      </c>
      <c r="Q11" s="13" t="s">
        <v>84</v>
      </c>
      <c r="R11" s="13">
        <f>IF(R5="Oui",H47,0)</f>
        <v>14700</v>
      </c>
      <c r="S11" s="13" t="s">
        <v>85</v>
      </c>
      <c r="T11" s="13">
        <f>P11/10+R11/4</f>
        <v>3675</v>
      </c>
      <c r="U11" s="13" t="s">
        <v>70</v>
      </c>
    </row>
    <row r="12" spans="1:21" ht="14.25" x14ac:dyDescent="0.2">
      <c r="A12" s="21" t="s">
        <v>128</v>
      </c>
      <c r="B12" s="20"/>
      <c r="L12" s="12" t="s">
        <v>86</v>
      </c>
      <c r="M12" s="13"/>
      <c r="N12" s="13"/>
      <c r="O12" s="13" t="s">
        <v>69</v>
      </c>
      <c r="P12" s="13">
        <f>IF(AND(R5="Non",R6="Oui"),H47,0)</f>
        <v>0</v>
      </c>
      <c r="Q12" s="13" t="s">
        <v>84</v>
      </c>
      <c r="R12" s="13">
        <f>IF(R6="Oui",H97,0)</f>
        <v>61872</v>
      </c>
      <c r="S12" s="13" t="s">
        <v>85</v>
      </c>
      <c r="T12" s="13">
        <f>P12/10+R12/4</f>
        <v>15468</v>
      </c>
      <c r="U12" s="13" t="s">
        <v>70</v>
      </c>
    </row>
    <row r="13" spans="1:21" ht="14.25" x14ac:dyDescent="0.2">
      <c r="A13" s="18" t="s">
        <v>129</v>
      </c>
      <c r="L13" s="1"/>
    </row>
    <row r="14" spans="1:21" ht="14.25" x14ac:dyDescent="0.2">
      <c r="A14" s="19">
        <v>5000</v>
      </c>
      <c r="B14" s="1" t="s">
        <v>66</v>
      </c>
      <c r="C14" s="19">
        <v>4650</v>
      </c>
      <c r="D14" s="1" t="s">
        <v>48</v>
      </c>
      <c r="E14" s="1">
        <f>A14-C14</f>
        <v>350</v>
      </c>
      <c r="F14" s="1" t="s">
        <v>100</v>
      </c>
      <c r="G14" s="1" t="s">
        <v>11</v>
      </c>
      <c r="H14" s="15">
        <f>8*E14</f>
        <v>2800</v>
      </c>
      <c r="I14" s="1" t="s">
        <v>67</v>
      </c>
      <c r="L14" s="1"/>
    </row>
    <row r="15" spans="1:21" ht="14.25" x14ac:dyDescent="0.2">
      <c r="A15" s="19">
        <v>5000</v>
      </c>
      <c r="B15" s="1" t="s">
        <v>66</v>
      </c>
      <c r="C15" s="19">
        <v>4650</v>
      </c>
      <c r="D15" s="1" t="s">
        <v>48</v>
      </c>
      <c r="E15" s="1">
        <f t="shared" ref="E15:E19" si="0">A15-C15</f>
        <v>350</v>
      </c>
      <c r="F15" s="1" t="s">
        <v>17</v>
      </c>
      <c r="G15" s="1" t="s">
        <v>11</v>
      </c>
      <c r="H15" s="15">
        <f>12*E15</f>
        <v>4200</v>
      </c>
      <c r="I15" s="1" t="s">
        <v>67</v>
      </c>
      <c r="L15" s="1"/>
    </row>
    <row r="16" spans="1:21" ht="14.25" x14ac:dyDescent="0.2">
      <c r="A16" s="19">
        <v>5000</v>
      </c>
      <c r="B16" s="1" t="s">
        <v>66</v>
      </c>
      <c r="C16" s="19">
        <v>4650</v>
      </c>
      <c r="D16" s="1" t="s">
        <v>48</v>
      </c>
      <c r="E16" s="1">
        <f t="shared" si="0"/>
        <v>350</v>
      </c>
      <c r="F16" s="1" t="s">
        <v>125</v>
      </c>
      <c r="G16" s="1" t="s">
        <v>11</v>
      </c>
      <c r="H16" s="15">
        <f>14*E16</f>
        <v>4900</v>
      </c>
      <c r="I16" s="1" t="s">
        <v>67</v>
      </c>
      <c r="L16" s="1"/>
    </row>
    <row r="17" spans="1:12" ht="14.25" x14ac:dyDescent="0.2">
      <c r="A17" s="19"/>
      <c r="B17" s="1" t="s">
        <v>66</v>
      </c>
      <c r="C17" s="19"/>
      <c r="D17" s="1" t="s">
        <v>48</v>
      </c>
      <c r="E17" s="1">
        <f t="shared" si="0"/>
        <v>0</v>
      </c>
      <c r="F17" s="1" t="s">
        <v>15</v>
      </c>
      <c r="G17" s="1" t="s">
        <v>11</v>
      </c>
      <c r="H17" s="15">
        <f>10*E17</f>
        <v>0</v>
      </c>
      <c r="I17" s="1" t="s">
        <v>67</v>
      </c>
      <c r="L17" s="1"/>
    </row>
    <row r="18" spans="1:12" ht="14.25" x14ac:dyDescent="0.2">
      <c r="A18" s="19"/>
      <c r="B18" s="1" t="s">
        <v>66</v>
      </c>
      <c r="C18" s="19"/>
      <c r="D18" s="1" t="s">
        <v>48</v>
      </c>
      <c r="E18" s="1">
        <f t="shared" si="0"/>
        <v>0</v>
      </c>
      <c r="F18" s="1" t="s">
        <v>102</v>
      </c>
      <c r="G18" s="1" t="s">
        <v>11</v>
      </c>
      <c r="H18" s="15">
        <f>150*E18</f>
        <v>0</v>
      </c>
      <c r="I18" s="1" t="s">
        <v>67</v>
      </c>
      <c r="L18" s="1"/>
    </row>
    <row r="19" spans="1:12" ht="14.25" x14ac:dyDescent="0.2">
      <c r="A19" s="19">
        <v>1000</v>
      </c>
      <c r="B19" s="1" t="s">
        <v>66</v>
      </c>
      <c r="C19" s="19">
        <v>930</v>
      </c>
      <c r="D19" s="1" t="s">
        <v>48</v>
      </c>
      <c r="E19" s="1">
        <f t="shared" si="0"/>
        <v>70</v>
      </c>
      <c r="F19" s="1" t="s">
        <v>126</v>
      </c>
      <c r="G19" s="1" t="s">
        <v>11</v>
      </c>
      <c r="H19" s="15">
        <f>40*E19</f>
        <v>2800</v>
      </c>
      <c r="I19" s="1" t="s">
        <v>67</v>
      </c>
      <c r="L19" s="1"/>
    </row>
    <row r="21" spans="1:12" x14ac:dyDescent="0.25">
      <c r="A21" s="1" t="s">
        <v>68</v>
      </c>
      <c r="E21" s="1" t="str">
        <f>A12</f>
        <v>La Colère d'Yffre</v>
      </c>
      <c r="G21" s="31" t="s">
        <v>69</v>
      </c>
      <c r="H21" s="12">
        <f>H14+H15+H16+H17+H18+H19</f>
        <v>14700</v>
      </c>
      <c r="I21" s="8" t="s">
        <v>70</v>
      </c>
    </row>
    <row r="24" spans="1:12" x14ac:dyDescent="0.25">
      <c r="A24" s="21" t="s">
        <v>21</v>
      </c>
      <c r="B24" s="20"/>
    </row>
    <row r="25" spans="1:12" x14ac:dyDescent="0.25">
      <c r="A25" s="18" t="s">
        <v>19</v>
      </c>
    </row>
    <row r="26" spans="1:12" x14ac:dyDescent="0.25">
      <c r="A26" s="19"/>
      <c r="B26" s="1" t="s">
        <v>66</v>
      </c>
      <c r="C26" s="19"/>
      <c r="D26" s="1" t="s">
        <v>48</v>
      </c>
      <c r="E26" s="1">
        <f>A26-C26</f>
        <v>0</v>
      </c>
      <c r="F26" s="1" t="s">
        <v>18</v>
      </c>
      <c r="G26" s="1" t="s">
        <v>11</v>
      </c>
      <c r="H26" s="15">
        <f>8*E26</f>
        <v>0</v>
      </c>
      <c r="I26" s="1" t="s">
        <v>67</v>
      </c>
    </row>
    <row r="27" spans="1:12" x14ac:dyDescent="0.25">
      <c r="A27" s="19"/>
      <c r="B27" s="1" t="s">
        <v>66</v>
      </c>
      <c r="C27" s="19"/>
      <c r="D27" s="1" t="s">
        <v>48</v>
      </c>
      <c r="E27" s="1">
        <f t="shared" ref="E27:E31" si="1">A27-C27</f>
        <v>0</v>
      </c>
      <c r="F27" s="1" t="s">
        <v>17</v>
      </c>
      <c r="G27" s="1" t="s">
        <v>11</v>
      </c>
      <c r="H27" s="15">
        <f>12*E27</f>
        <v>0</v>
      </c>
      <c r="I27" s="1" t="s">
        <v>67</v>
      </c>
    </row>
    <row r="28" spans="1:12" x14ac:dyDescent="0.25">
      <c r="A28" s="19"/>
      <c r="B28" s="1" t="s">
        <v>66</v>
      </c>
      <c r="C28" s="19"/>
      <c r="D28" s="1" t="s">
        <v>48</v>
      </c>
      <c r="E28" s="1">
        <f t="shared" si="1"/>
        <v>0</v>
      </c>
      <c r="F28" s="1" t="s">
        <v>16</v>
      </c>
      <c r="G28" s="1" t="s">
        <v>11</v>
      </c>
      <c r="H28" s="15">
        <f>14*E28</f>
        <v>0</v>
      </c>
      <c r="I28" s="1" t="s">
        <v>67</v>
      </c>
    </row>
    <row r="29" spans="1:12" x14ac:dyDescent="0.25">
      <c r="A29" s="19"/>
      <c r="B29" s="1" t="s">
        <v>66</v>
      </c>
      <c r="C29" s="19"/>
      <c r="D29" s="1" t="s">
        <v>48</v>
      </c>
      <c r="E29" s="1">
        <f t="shared" si="1"/>
        <v>0</v>
      </c>
      <c r="F29" s="1" t="s">
        <v>15</v>
      </c>
      <c r="G29" s="1" t="s">
        <v>11</v>
      </c>
      <c r="H29" s="15">
        <f>10*E29</f>
        <v>0</v>
      </c>
      <c r="I29" s="1" t="s">
        <v>67</v>
      </c>
    </row>
    <row r="30" spans="1:12" x14ac:dyDescent="0.25">
      <c r="A30" s="19"/>
      <c r="B30" s="1" t="s">
        <v>66</v>
      </c>
      <c r="C30" s="19"/>
      <c r="D30" s="1" t="s">
        <v>48</v>
      </c>
      <c r="E30" s="1">
        <f t="shared" si="1"/>
        <v>0</v>
      </c>
      <c r="F30" s="1" t="s">
        <v>14</v>
      </c>
      <c r="G30" s="1" t="s">
        <v>11</v>
      </c>
      <c r="H30" s="15">
        <f>150*E30</f>
        <v>0</v>
      </c>
      <c r="I30" s="1" t="s">
        <v>67</v>
      </c>
    </row>
    <row r="31" spans="1:12" x14ac:dyDescent="0.25">
      <c r="A31" s="19"/>
      <c r="B31" s="1" t="s">
        <v>66</v>
      </c>
      <c r="C31" s="19"/>
      <c r="D31" s="1" t="s">
        <v>48</v>
      </c>
      <c r="E31" s="1">
        <f t="shared" si="1"/>
        <v>0</v>
      </c>
      <c r="F31" s="1" t="s">
        <v>12</v>
      </c>
      <c r="G31" s="1" t="s">
        <v>11</v>
      </c>
      <c r="H31" s="15">
        <f>40*E31</f>
        <v>0</v>
      </c>
      <c r="I31" s="1" t="s">
        <v>67</v>
      </c>
    </row>
    <row r="33" spans="1:9" x14ac:dyDescent="0.25">
      <c r="A33" s="1" t="s">
        <v>68</v>
      </c>
      <c r="E33" s="1" t="str">
        <f>A24</f>
        <v># Nom de l'Armée #2</v>
      </c>
      <c r="G33" s="31" t="s">
        <v>69</v>
      </c>
      <c r="H33" s="12">
        <f>H26+H27+H28+H29+H30+H31</f>
        <v>0</v>
      </c>
      <c r="I33" s="8" t="s">
        <v>70</v>
      </c>
    </row>
    <row r="36" spans="1:9" x14ac:dyDescent="0.25">
      <c r="A36" s="21" t="s">
        <v>20</v>
      </c>
      <c r="B36" s="20"/>
    </row>
    <row r="37" spans="1:9" x14ac:dyDescent="0.25">
      <c r="A37" s="18" t="s">
        <v>19</v>
      </c>
    </row>
    <row r="38" spans="1:9" x14ac:dyDescent="0.25">
      <c r="A38" s="19"/>
      <c r="B38" s="1" t="s">
        <v>66</v>
      </c>
      <c r="C38" s="19"/>
      <c r="D38" s="1" t="s">
        <v>48</v>
      </c>
      <c r="E38" s="1">
        <f>A38-C38</f>
        <v>0</v>
      </c>
      <c r="F38" s="1" t="s">
        <v>18</v>
      </c>
      <c r="G38" s="1" t="s">
        <v>11</v>
      </c>
      <c r="H38" s="15">
        <f>8*E38</f>
        <v>0</v>
      </c>
      <c r="I38" s="1" t="s">
        <v>67</v>
      </c>
    </row>
    <row r="39" spans="1:9" x14ac:dyDescent="0.25">
      <c r="A39" s="19"/>
      <c r="B39" s="1" t="s">
        <v>66</v>
      </c>
      <c r="C39" s="19"/>
      <c r="D39" s="1" t="s">
        <v>48</v>
      </c>
      <c r="E39" s="1">
        <f t="shared" ref="E39:E43" si="2">A39-C39</f>
        <v>0</v>
      </c>
      <c r="F39" s="1" t="s">
        <v>17</v>
      </c>
      <c r="G39" s="1" t="s">
        <v>11</v>
      </c>
      <c r="H39" s="15">
        <f>12*E39</f>
        <v>0</v>
      </c>
      <c r="I39" s="1" t="s">
        <v>67</v>
      </c>
    </row>
    <row r="40" spans="1:9" x14ac:dyDescent="0.25">
      <c r="A40" s="19"/>
      <c r="B40" s="1" t="s">
        <v>66</v>
      </c>
      <c r="C40" s="19"/>
      <c r="D40" s="1" t="s">
        <v>48</v>
      </c>
      <c r="E40" s="1">
        <f t="shared" si="2"/>
        <v>0</v>
      </c>
      <c r="F40" s="1" t="s">
        <v>16</v>
      </c>
      <c r="G40" s="1" t="s">
        <v>11</v>
      </c>
      <c r="H40" s="15">
        <f>14*E40</f>
        <v>0</v>
      </c>
      <c r="I40" s="1" t="s">
        <v>67</v>
      </c>
    </row>
    <row r="41" spans="1:9" x14ac:dyDescent="0.25">
      <c r="A41" s="19"/>
      <c r="B41" s="1" t="s">
        <v>66</v>
      </c>
      <c r="C41" s="19"/>
      <c r="D41" s="1" t="s">
        <v>48</v>
      </c>
      <c r="E41" s="1">
        <f t="shared" si="2"/>
        <v>0</v>
      </c>
      <c r="F41" s="1" t="s">
        <v>15</v>
      </c>
      <c r="G41" s="1" t="s">
        <v>11</v>
      </c>
      <c r="H41" s="15">
        <f>10*E41</f>
        <v>0</v>
      </c>
      <c r="I41" s="1" t="s">
        <v>67</v>
      </c>
    </row>
    <row r="42" spans="1:9" x14ac:dyDescent="0.25">
      <c r="A42" s="19"/>
      <c r="B42" s="1" t="s">
        <v>66</v>
      </c>
      <c r="C42" s="19"/>
      <c r="D42" s="1" t="s">
        <v>48</v>
      </c>
      <c r="E42" s="1">
        <f t="shared" si="2"/>
        <v>0</v>
      </c>
      <c r="F42" s="1" t="s">
        <v>14</v>
      </c>
      <c r="G42" s="1" t="s">
        <v>11</v>
      </c>
      <c r="H42" s="15">
        <f>150*E42</f>
        <v>0</v>
      </c>
      <c r="I42" s="1" t="s">
        <v>67</v>
      </c>
    </row>
    <row r="43" spans="1:9" x14ac:dyDescent="0.25">
      <c r="A43" s="19"/>
      <c r="B43" s="1" t="s">
        <v>66</v>
      </c>
      <c r="C43" s="19"/>
      <c r="D43" s="1" t="s">
        <v>48</v>
      </c>
      <c r="E43" s="1">
        <f t="shared" si="2"/>
        <v>0</v>
      </c>
      <c r="F43" s="1" t="s">
        <v>12</v>
      </c>
      <c r="G43" s="1" t="s">
        <v>11</v>
      </c>
      <c r="H43" s="15">
        <f>40*E43</f>
        <v>0</v>
      </c>
      <c r="I43" s="1" t="s">
        <v>67</v>
      </c>
    </row>
    <row r="44" spans="1:9" x14ac:dyDescent="0.25">
      <c r="A44" s="19"/>
      <c r="C44" s="19"/>
      <c r="H44" s="15"/>
    </row>
    <row r="45" spans="1:9" x14ac:dyDescent="0.25">
      <c r="A45" s="1" t="s">
        <v>68</v>
      </c>
      <c r="E45" s="1" t="str">
        <f>A36</f>
        <v># Nom de l'Armée #3</v>
      </c>
      <c r="G45" s="31" t="s">
        <v>69</v>
      </c>
      <c r="H45" s="12">
        <f>H38+H39+H40+H41+H42+H43</f>
        <v>0</v>
      </c>
      <c r="I45" s="8" t="s">
        <v>70</v>
      </c>
    </row>
    <row r="47" spans="1:9" x14ac:dyDescent="0.25">
      <c r="A47" s="8" t="s">
        <v>93</v>
      </c>
      <c r="B47" s="8"/>
      <c r="C47" s="8"/>
      <c r="D47" s="8"/>
      <c r="E47" s="8"/>
      <c r="H47" s="12">
        <f>H21+H33+H45</f>
        <v>14700</v>
      </c>
      <c r="I47" s="8" t="s">
        <v>70</v>
      </c>
    </row>
    <row r="48" spans="1:9" x14ac:dyDescent="0.25">
      <c r="A48" s="8"/>
      <c r="B48" s="8"/>
      <c r="C48" s="8"/>
      <c r="D48" s="8"/>
      <c r="E48" s="8"/>
      <c r="G48" s="12"/>
      <c r="H48" s="8"/>
    </row>
    <row r="49" spans="1:12" ht="14.25" x14ac:dyDescent="0.2">
      <c r="A49" s="7" t="s">
        <v>71</v>
      </c>
      <c r="F49" s="12">
        <f>H47</f>
        <v>14700</v>
      </c>
      <c r="G49" s="8" t="s">
        <v>72</v>
      </c>
      <c r="H49" s="8">
        <f>1+C52/100+C51/100</f>
        <v>1.5</v>
      </c>
      <c r="I49" s="8" t="s">
        <v>72</v>
      </c>
      <c r="J49" s="8">
        <f>IF(C54="",1,C54)</f>
        <v>1</v>
      </c>
      <c r="K49" s="8" t="s">
        <v>48</v>
      </c>
      <c r="L49" s="12">
        <f>F49*H49*J49</f>
        <v>22050</v>
      </c>
    </row>
    <row r="50" spans="1:12" x14ac:dyDescent="0.25">
      <c r="A50" s="1" t="s">
        <v>73</v>
      </c>
    </row>
    <row r="51" spans="1:12" x14ac:dyDescent="0.25">
      <c r="A51" s="1" t="s">
        <v>81</v>
      </c>
      <c r="B51" s="1" t="s">
        <v>34</v>
      </c>
      <c r="C51" s="18">
        <v>50</v>
      </c>
      <c r="D51" s="1" t="s">
        <v>6</v>
      </c>
      <c r="E51" s="1" t="s">
        <v>76</v>
      </c>
      <c r="F51" s="1" t="s">
        <v>79</v>
      </c>
    </row>
    <row r="52" spans="1:12" x14ac:dyDescent="0.25">
      <c r="A52" s="1" t="s">
        <v>81</v>
      </c>
      <c r="B52" s="1" t="s">
        <v>34</v>
      </c>
      <c r="C52" s="18"/>
      <c r="D52" s="1" t="s">
        <v>6</v>
      </c>
      <c r="E52" s="1" t="s">
        <v>76</v>
      </c>
      <c r="F52" s="1" t="s">
        <v>82</v>
      </c>
    </row>
    <row r="53" spans="1:12" x14ac:dyDescent="0.25">
      <c r="A53" s="1" t="s">
        <v>74</v>
      </c>
    </row>
    <row r="54" spans="1:12" x14ac:dyDescent="0.25">
      <c r="A54" s="1" t="s">
        <v>81</v>
      </c>
      <c r="B54" s="1" t="s">
        <v>75</v>
      </c>
      <c r="C54" s="18"/>
      <c r="E54" s="1" t="s">
        <v>77</v>
      </c>
    </row>
    <row r="56" spans="1:12" x14ac:dyDescent="0.25">
      <c r="C56"/>
    </row>
    <row r="58" spans="1:12" ht="3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</row>
    <row r="60" spans="1:12" x14ac:dyDescent="0.25">
      <c r="A60" s="1" t="s">
        <v>24</v>
      </c>
      <c r="B60" s="18" t="s">
        <v>124</v>
      </c>
    </row>
    <row r="62" spans="1:12" x14ac:dyDescent="0.25">
      <c r="A62" s="21" t="s">
        <v>130</v>
      </c>
      <c r="B62" s="20"/>
    </row>
    <row r="63" spans="1:12" x14ac:dyDescent="0.25">
      <c r="A63" s="18"/>
    </row>
    <row r="64" spans="1:12" x14ac:dyDescent="0.25">
      <c r="A64" s="19">
        <v>2700</v>
      </c>
      <c r="B64" s="1" t="s">
        <v>66</v>
      </c>
      <c r="C64" s="19">
        <v>1323</v>
      </c>
      <c r="D64" s="1" t="s">
        <v>48</v>
      </c>
      <c r="E64" s="1">
        <f>A64-C64</f>
        <v>1377</v>
      </c>
      <c r="F64" s="1" t="s">
        <v>18</v>
      </c>
      <c r="G64" s="1" t="s">
        <v>11</v>
      </c>
      <c r="H64" s="15">
        <f>8*E64</f>
        <v>11016</v>
      </c>
      <c r="I64" s="1" t="s">
        <v>67</v>
      </c>
    </row>
    <row r="65" spans="1:9" x14ac:dyDescent="0.25">
      <c r="A65" s="19">
        <v>1800</v>
      </c>
      <c r="B65" s="1" t="s">
        <v>66</v>
      </c>
      <c r="C65" s="19">
        <v>882</v>
      </c>
      <c r="D65" s="1" t="s">
        <v>48</v>
      </c>
      <c r="E65" s="1">
        <f t="shared" ref="E65:E69" si="3">A65-C65</f>
        <v>918</v>
      </c>
      <c r="F65" s="1" t="s">
        <v>17</v>
      </c>
      <c r="G65" s="1" t="s">
        <v>11</v>
      </c>
      <c r="H65" s="15">
        <f>12*E65</f>
        <v>11016</v>
      </c>
      <c r="I65" s="1" t="s">
        <v>67</v>
      </c>
    </row>
    <row r="66" spans="1:9" x14ac:dyDescent="0.25">
      <c r="A66" s="19">
        <v>1500</v>
      </c>
      <c r="B66" s="1" t="s">
        <v>66</v>
      </c>
      <c r="C66" s="19">
        <v>735</v>
      </c>
      <c r="D66" s="1" t="s">
        <v>48</v>
      </c>
      <c r="E66" s="1">
        <f t="shared" si="3"/>
        <v>765</v>
      </c>
      <c r="F66" s="1" t="s">
        <v>16</v>
      </c>
      <c r="G66" s="1" t="s">
        <v>11</v>
      </c>
      <c r="H66" s="15">
        <f>14*E66</f>
        <v>10710</v>
      </c>
      <c r="I66" s="1" t="s">
        <v>67</v>
      </c>
    </row>
    <row r="67" spans="1:9" x14ac:dyDescent="0.25">
      <c r="A67" s="19">
        <v>2000</v>
      </c>
      <c r="B67" s="1" t="s">
        <v>66</v>
      </c>
      <c r="C67" s="19">
        <v>980</v>
      </c>
      <c r="D67" s="1" t="s">
        <v>48</v>
      </c>
      <c r="E67" s="1">
        <f t="shared" si="3"/>
        <v>1020</v>
      </c>
      <c r="F67" s="1" t="s">
        <v>15</v>
      </c>
      <c r="G67" s="1" t="s">
        <v>11</v>
      </c>
      <c r="H67" s="15">
        <f>10*E67</f>
        <v>10200</v>
      </c>
      <c r="I67" s="1" t="s">
        <v>67</v>
      </c>
    </row>
    <row r="68" spans="1:9" x14ac:dyDescent="0.25">
      <c r="A68" s="19">
        <v>140</v>
      </c>
      <c r="B68" s="1" t="s">
        <v>66</v>
      </c>
      <c r="C68" s="19">
        <v>69</v>
      </c>
      <c r="D68" s="1" t="s">
        <v>48</v>
      </c>
      <c r="E68" s="1">
        <f t="shared" si="3"/>
        <v>71</v>
      </c>
      <c r="F68" s="1" t="s">
        <v>14</v>
      </c>
      <c r="G68" s="1" t="s">
        <v>11</v>
      </c>
      <c r="H68" s="15">
        <f>150*E68</f>
        <v>10650</v>
      </c>
      <c r="I68" s="1" t="s">
        <v>67</v>
      </c>
    </row>
    <row r="69" spans="1:9" x14ac:dyDescent="0.25">
      <c r="A69" s="19">
        <v>405</v>
      </c>
      <c r="B69" s="1" t="s">
        <v>66</v>
      </c>
      <c r="C69" s="19">
        <v>198</v>
      </c>
      <c r="D69" s="1" t="s">
        <v>48</v>
      </c>
      <c r="E69" s="1">
        <f t="shared" si="3"/>
        <v>207</v>
      </c>
      <c r="F69" s="1" t="s">
        <v>12</v>
      </c>
      <c r="G69" s="1" t="s">
        <v>11</v>
      </c>
      <c r="H69" s="15">
        <f>40*E69</f>
        <v>8280</v>
      </c>
      <c r="I69" s="1" t="s">
        <v>67</v>
      </c>
    </row>
    <row r="71" spans="1:9" x14ac:dyDescent="0.25">
      <c r="A71" s="1" t="s">
        <v>68</v>
      </c>
      <c r="E71" s="1" t="str">
        <f>A62</f>
        <v>Les Danseurs de Riddle'Thar</v>
      </c>
      <c r="G71" s="31" t="s">
        <v>69</v>
      </c>
      <c r="H71" s="12">
        <f>H64+H65+H66+H67+H68+H69</f>
        <v>61872</v>
      </c>
      <c r="I71" s="8" t="s">
        <v>70</v>
      </c>
    </row>
    <row r="74" spans="1:9" x14ac:dyDescent="0.25">
      <c r="A74" s="21" t="s">
        <v>21</v>
      </c>
      <c r="B74" s="20"/>
    </row>
    <row r="75" spans="1:9" x14ac:dyDescent="0.25">
      <c r="A75" s="18" t="s">
        <v>19</v>
      </c>
    </row>
    <row r="76" spans="1:9" x14ac:dyDescent="0.25">
      <c r="A76" s="19"/>
      <c r="B76" s="1" t="s">
        <v>66</v>
      </c>
      <c r="C76" s="19"/>
      <c r="D76" s="1" t="s">
        <v>48</v>
      </c>
      <c r="E76" s="1">
        <f>A76-C76</f>
        <v>0</v>
      </c>
      <c r="F76" s="1" t="s">
        <v>18</v>
      </c>
      <c r="G76" s="1" t="s">
        <v>11</v>
      </c>
      <c r="H76" s="15">
        <f>8*E76</f>
        <v>0</v>
      </c>
      <c r="I76" s="1" t="s">
        <v>67</v>
      </c>
    </row>
    <row r="77" spans="1:9" x14ac:dyDescent="0.25">
      <c r="A77" s="19"/>
      <c r="B77" s="1" t="s">
        <v>66</v>
      </c>
      <c r="C77" s="19"/>
      <c r="D77" s="1" t="s">
        <v>48</v>
      </c>
      <c r="E77" s="1">
        <f t="shared" ref="E77:E81" si="4">A77-C77</f>
        <v>0</v>
      </c>
      <c r="F77" s="1" t="s">
        <v>17</v>
      </c>
      <c r="G77" s="1" t="s">
        <v>11</v>
      </c>
      <c r="H77" s="15">
        <f>12*E77</f>
        <v>0</v>
      </c>
      <c r="I77" s="1" t="s">
        <v>67</v>
      </c>
    </row>
    <row r="78" spans="1:9" x14ac:dyDescent="0.25">
      <c r="A78" s="19"/>
      <c r="B78" s="1" t="s">
        <v>66</v>
      </c>
      <c r="C78" s="19"/>
      <c r="D78" s="1" t="s">
        <v>48</v>
      </c>
      <c r="E78" s="1">
        <f t="shared" si="4"/>
        <v>0</v>
      </c>
      <c r="F78" s="1" t="s">
        <v>16</v>
      </c>
      <c r="G78" s="1" t="s">
        <v>11</v>
      </c>
      <c r="H78" s="15">
        <f>14*E78</f>
        <v>0</v>
      </c>
      <c r="I78" s="1" t="s">
        <v>67</v>
      </c>
    </row>
    <row r="79" spans="1:9" x14ac:dyDescent="0.25">
      <c r="A79" s="19"/>
      <c r="B79" s="1" t="s">
        <v>66</v>
      </c>
      <c r="C79" s="19"/>
      <c r="D79" s="1" t="s">
        <v>48</v>
      </c>
      <c r="E79" s="1">
        <f t="shared" si="4"/>
        <v>0</v>
      </c>
      <c r="F79" s="1" t="s">
        <v>15</v>
      </c>
      <c r="G79" s="1" t="s">
        <v>11</v>
      </c>
      <c r="H79" s="15">
        <f>10*E79</f>
        <v>0</v>
      </c>
      <c r="I79" s="1" t="s">
        <v>67</v>
      </c>
    </row>
    <row r="80" spans="1:9" x14ac:dyDescent="0.25">
      <c r="A80" s="19"/>
      <c r="B80" s="1" t="s">
        <v>66</v>
      </c>
      <c r="C80" s="19"/>
      <c r="D80" s="1" t="s">
        <v>48</v>
      </c>
      <c r="E80" s="1">
        <f t="shared" si="4"/>
        <v>0</v>
      </c>
      <c r="F80" s="1" t="s">
        <v>14</v>
      </c>
      <c r="G80" s="1" t="s">
        <v>11</v>
      </c>
      <c r="H80" s="15">
        <f>150*E80</f>
        <v>0</v>
      </c>
      <c r="I80" s="1" t="s">
        <v>67</v>
      </c>
    </row>
    <row r="81" spans="1:9" x14ac:dyDescent="0.25">
      <c r="A81" s="19"/>
      <c r="B81" s="1" t="s">
        <v>66</v>
      </c>
      <c r="C81" s="19"/>
      <c r="D81" s="1" t="s">
        <v>48</v>
      </c>
      <c r="E81" s="1">
        <f t="shared" si="4"/>
        <v>0</v>
      </c>
      <c r="F81" s="1" t="s">
        <v>12</v>
      </c>
      <c r="G81" s="1" t="s">
        <v>11</v>
      </c>
      <c r="H81" s="15">
        <f>40*E81</f>
        <v>0</v>
      </c>
      <c r="I81" s="1" t="s">
        <v>67</v>
      </c>
    </row>
    <row r="83" spans="1:9" x14ac:dyDescent="0.25">
      <c r="A83" s="1" t="s">
        <v>68</v>
      </c>
      <c r="E83" s="1" t="str">
        <f>A74</f>
        <v># Nom de l'Armée #2</v>
      </c>
      <c r="G83" s="31" t="s">
        <v>69</v>
      </c>
      <c r="H83" s="12">
        <f>H76+H77+H78+H79+H80+H81</f>
        <v>0</v>
      </c>
      <c r="I83" s="8" t="s">
        <v>70</v>
      </c>
    </row>
    <row r="86" spans="1:9" x14ac:dyDescent="0.25">
      <c r="A86" s="21" t="s">
        <v>20</v>
      </c>
      <c r="B86" s="20"/>
    </row>
    <row r="87" spans="1:9" x14ac:dyDescent="0.25">
      <c r="A87" s="18" t="s">
        <v>19</v>
      </c>
    </row>
    <row r="88" spans="1:9" x14ac:dyDescent="0.25">
      <c r="A88" s="19"/>
      <c r="B88" s="1" t="s">
        <v>66</v>
      </c>
      <c r="C88" s="19"/>
      <c r="D88" s="1" t="s">
        <v>48</v>
      </c>
      <c r="E88" s="1">
        <f>A88-C88</f>
        <v>0</v>
      </c>
      <c r="F88" s="1" t="s">
        <v>18</v>
      </c>
      <c r="G88" s="1" t="s">
        <v>11</v>
      </c>
      <c r="H88" s="15">
        <f>8*E88</f>
        <v>0</v>
      </c>
      <c r="I88" s="1" t="s">
        <v>67</v>
      </c>
    </row>
    <row r="89" spans="1:9" x14ac:dyDescent="0.25">
      <c r="A89" s="19"/>
      <c r="B89" s="1" t="s">
        <v>66</v>
      </c>
      <c r="C89" s="19"/>
      <c r="D89" s="1" t="s">
        <v>48</v>
      </c>
      <c r="E89" s="1">
        <f t="shared" ref="E89:E93" si="5">A89-C89</f>
        <v>0</v>
      </c>
      <c r="F89" s="1" t="s">
        <v>17</v>
      </c>
      <c r="G89" s="1" t="s">
        <v>11</v>
      </c>
      <c r="H89" s="15">
        <f>12*E89</f>
        <v>0</v>
      </c>
      <c r="I89" s="1" t="s">
        <v>67</v>
      </c>
    </row>
    <row r="90" spans="1:9" x14ac:dyDescent="0.25">
      <c r="A90" s="19"/>
      <c r="B90" s="1" t="s">
        <v>66</v>
      </c>
      <c r="C90" s="19"/>
      <c r="D90" s="1" t="s">
        <v>48</v>
      </c>
      <c r="E90" s="1">
        <f t="shared" si="5"/>
        <v>0</v>
      </c>
      <c r="F90" s="1" t="s">
        <v>16</v>
      </c>
      <c r="G90" s="1" t="s">
        <v>11</v>
      </c>
      <c r="H90" s="15">
        <f>14*E90</f>
        <v>0</v>
      </c>
      <c r="I90" s="1" t="s">
        <v>67</v>
      </c>
    </row>
    <row r="91" spans="1:9" x14ac:dyDescent="0.25">
      <c r="A91" s="19"/>
      <c r="B91" s="1" t="s">
        <v>66</v>
      </c>
      <c r="C91" s="19"/>
      <c r="D91" s="1" t="s">
        <v>48</v>
      </c>
      <c r="E91" s="1">
        <f t="shared" si="5"/>
        <v>0</v>
      </c>
      <c r="F91" s="1" t="s">
        <v>15</v>
      </c>
      <c r="G91" s="1" t="s">
        <v>11</v>
      </c>
      <c r="H91" s="15">
        <f>10*E91</f>
        <v>0</v>
      </c>
      <c r="I91" s="1" t="s">
        <v>67</v>
      </c>
    </row>
    <row r="92" spans="1:9" x14ac:dyDescent="0.25">
      <c r="A92" s="19"/>
      <c r="B92" s="1" t="s">
        <v>66</v>
      </c>
      <c r="C92" s="19"/>
      <c r="D92" s="1" t="s">
        <v>48</v>
      </c>
      <c r="E92" s="1">
        <f t="shared" si="5"/>
        <v>0</v>
      </c>
      <c r="F92" s="1" t="s">
        <v>14</v>
      </c>
      <c r="G92" s="1" t="s">
        <v>11</v>
      </c>
      <c r="H92" s="15">
        <f>150*E92</f>
        <v>0</v>
      </c>
      <c r="I92" s="1" t="s">
        <v>67</v>
      </c>
    </row>
    <row r="93" spans="1:9" x14ac:dyDescent="0.25">
      <c r="A93" s="19"/>
      <c r="B93" s="1" t="s">
        <v>66</v>
      </c>
      <c r="C93" s="19"/>
      <c r="D93" s="1" t="s">
        <v>48</v>
      </c>
      <c r="E93" s="1">
        <f t="shared" si="5"/>
        <v>0</v>
      </c>
      <c r="F93" s="1" t="s">
        <v>12</v>
      </c>
      <c r="G93" s="1" t="s">
        <v>11</v>
      </c>
      <c r="H93" s="15">
        <f>40*E93</f>
        <v>0</v>
      </c>
      <c r="I93" s="1" t="s">
        <v>67</v>
      </c>
    </row>
    <row r="95" spans="1:9" x14ac:dyDescent="0.25">
      <c r="A95" s="1" t="s">
        <v>68</v>
      </c>
      <c r="E95" s="1" t="str">
        <f>A86</f>
        <v># Nom de l'Armée #3</v>
      </c>
      <c r="G95" s="31" t="s">
        <v>69</v>
      </c>
      <c r="H95" s="12">
        <f>H88+H89+H90+H91+H92+H93</f>
        <v>0</v>
      </c>
      <c r="I95" s="8" t="s">
        <v>70</v>
      </c>
    </row>
    <row r="97" spans="1:12" x14ac:dyDescent="0.25">
      <c r="A97" s="8" t="s">
        <v>92</v>
      </c>
      <c r="B97" s="8"/>
      <c r="C97" s="8"/>
      <c r="D97" s="8"/>
      <c r="E97" s="8"/>
      <c r="H97" s="12">
        <f>H71+H83+H95</f>
        <v>61872</v>
      </c>
      <c r="I97" s="8" t="s">
        <v>70</v>
      </c>
    </row>
    <row r="98" spans="1:12" x14ac:dyDescent="0.25">
      <c r="A98" s="8"/>
      <c r="B98" s="8"/>
      <c r="C98" s="8"/>
      <c r="D98" s="8"/>
      <c r="E98" s="8"/>
      <c r="G98" s="12"/>
      <c r="H98" s="8"/>
    </row>
    <row r="99" spans="1:12" ht="14.25" x14ac:dyDescent="0.2">
      <c r="A99" s="7" t="s">
        <v>95</v>
      </c>
      <c r="F99" s="12">
        <f>H97</f>
        <v>61872</v>
      </c>
      <c r="G99" s="8" t="s">
        <v>72</v>
      </c>
      <c r="H99" s="8">
        <f>1+C101/100+C102/100</f>
        <v>2</v>
      </c>
      <c r="I99" s="8" t="s">
        <v>72</v>
      </c>
      <c r="J99" s="8">
        <f>IF(C104="",1,C104)</f>
        <v>1</v>
      </c>
      <c r="K99" s="8" t="s">
        <v>48</v>
      </c>
      <c r="L99" s="12">
        <f>F99*H99*J99</f>
        <v>123744</v>
      </c>
    </row>
    <row r="100" spans="1:12" x14ac:dyDescent="0.25">
      <c r="A100" s="1" t="s">
        <v>73</v>
      </c>
    </row>
    <row r="101" spans="1:12" x14ac:dyDescent="0.25">
      <c r="B101" s="1" t="s">
        <v>34</v>
      </c>
      <c r="C101" s="18"/>
      <c r="D101" s="1" t="s">
        <v>6</v>
      </c>
      <c r="E101" s="1" t="s">
        <v>76</v>
      </c>
      <c r="F101" s="1" t="s">
        <v>79</v>
      </c>
    </row>
    <row r="102" spans="1:12" x14ac:dyDescent="0.25">
      <c r="B102" s="1" t="s">
        <v>34</v>
      </c>
      <c r="C102" s="18">
        <v>100</v>
      </c>
      <c r="D102" s="1" t="s">
        <v>6</v>
      </c>
      <c r="E102" s="1" t="s">
        <v>76</v>
      </c>
      <c r="F102" s="1" t="s">
        <v>82</v>
      </c>
    </row>
    <row r="103" spans="1:12" x14ac:dyDescent="0.25">
      <c r="A103" s="1" t="s">
        <v>74</v>
      </c>
    </row>
    <row r="104" spans="1:12" x14ac:dyDescent="0.25">
      <c r="B104" s="1" t="s">
        <v>75</v>
      </c>
      <c r="C104" s="18"/>
      <c r="E104" s="1" t="s">
        <v>77</v>
      </c>
    </row>
  </sheetData>
  <conditionalFormatting sqref="R5:R6">
    <cfRule type="containsText" dxfId="3" priority="1" operator="containsText" text="Non">
      <formula>NOT(ISERROR(SEARCH("Non",R5)))</formula>
    </cfRule>
    <cfRule type="containsText" dxfId="2" priority="2" operator="containsText" text="Oui">
      <formula>NOT(ISERROR(SEARCH("Oui",R5)))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Gideon</vt:lpstr>
      <vt:lpstr>Dune</vt:lpstr>
      <vt:lpstr>Fort-Tempête</vt:lpstr>
      <vt:lpstr>Helstrom</vt:lpstr>
      <vt:lpstr>Narsis</vt:lpstr>
      <vt:lpstr>---Retraite---</vt:lpstr>
      <vt:lpstr>Pertes et XP</vt:lpstr>
      <vt:lpstr>Pertes et XP 2</vt:lpstr>
      <vt:lpstr>Pertes et XP 3</vt:lpstr>
      <vt:lpstr>Pertes et XP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2013-03-19T21:53:07Z</dcterms:created>
  <dcterms:modified xsi:type="dcterms:W3CDTF">2013-07-03T03:27:47Z</dcterms:modified>
</cp:coreProperties>
</file>