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20" windowWidth="28515" windowHeight="12480" activeTab="12"/>
  </bookViews>
  <sheets>
    <sheet name="Ressources" sheetId="1" r:id="rId1"/>
    <sheet name="Alinor" sheetId="2" r:id="rId2"/>
    <sheet name="Bordeciel" sheetId="5" r:id="rId3"/>
    <sheet name="Cyrodiil" sheetId="6" r:id="rId4"/>
    <sheet name="Elsweyr" sheetId="7" r:id="rId5"/>
    <sheet name="Hauteroche" sheetId="8" r:id="rId6"/>
    <sheet name="Lenclume" sheetId="9" r:id="rId7"/>
    <sheet name="Marais Noir" sheetId="10" r:id="rId8"/>
    <sheet name="Morrowind" sheetId="11" r:id="rId9"/>
    <sheet name="Val-Boisé" sheetId="12" r:id="rId10"/>
    <sheet name="Solstheim" sheetId="13" r:id="rId11"/>
    <sheet name="Orsinium" sheetId="14" r:id="rId12"/>
    <sheet name="Pirates" sheetId="16" r:id="rId13"/>
  </sheets>
  <definedNames>
    <definedName name="Année" localSheetId="2">Bordeciel!$C$124:$C$148</definedName>
    <definedName name="Année" localSheetId="3">Cyrodiil!$C$124:$C$148</definedName>
    <definedName name="Année" localSheetId="4">Elsweyr!$C$124:$C$148</definedName>
    <definedName name="Année" localSheetId="5">Hauteroche!$C$124:$C$148</definedName>
    <definedName name="Année" localSheetId="6">Lenclume!$C$124:$C$148</definedName>
    <definedName name="Année" localSheetId="7">'Marais Noir'!$C$124:$C$148</definedName>
    <definedName name="Année" localSheetId="8">Morrowind!$C$124:$C$148</definedName>
    <definedName name="Année" localSheetId="11">Orsinium!$C$124:$C$148</definedName>
    <definedName name="Année" localSheetId="12">Pirates!$C$124:$C$148</definedName>
    <definedName name="Année" localSheetId="10">Solstheim!$C$124:$C$148</definedName>
    <definedName name="Année" localSheetId="9">'Val-Boisé'!$C$124:$C$148</definedName>
    <definedName name="Année">Alinor!$C$124:$C$148</definedName>
    <definedName name="Malus" localSheetId="2">Bordeciel!$B$123:$B$144</definedName>
    <definedName name="Malus" localSheetId="3">Cyrodiil!$B$123:$B$144</definedName>
    <definedName name="Malus" localSheetId="4">Elsweyr!$B$123:$B$144</definedName>
    <definedName name="Malus" localSheetId="5">Hauteroche!$B$123:$B$144</definedName>
    <definedName name="Malus" localSheetId="6">Lenclume!$B$123:$B$144</definedName>
    <definedName name="Malus" localSheetId="7">'Marais Noir'!$B$123:$B$144</definedName>
    <definedName name="Malus" localSheetId="8">Morrowind!$B$123:$B$144</definedName>
    <definedName name="Malus" localSheetId="11">Orsinium!$B$123:$B$144</definedName>
    <definedName name="Malus" localSheetId="12">Pirates!$B$123:$B$144</definedName>
    <definedName name="Malus" localSheetId="10">Solstheim!$B$123:$B$144</definedName>
    <definedName name="Malus" localSheetId="9">'Val-Boisé'!$B$123:$B$144</definedName>
    <definedName name="Malus">Alinor!$B$123:$B$144</definedName>
    <definedName name="Pénalité" localSheetId="2">Bordeciel!$N$27:$N$34,Bordeciel!$N$36:$N$43,Bordeciel!$N$45:$N$53,Bordeciel!$N$55:$N$61,Bordeciel!$N$64:$N$70,Bordeciel!$N$63,Bordeciel!$N$72:$N$79,Bordeciel!$N$81:$N$88,Bordeciel!$N$90:$N$97,Bordeciel!$N$99:$N$106,Bordeciel!$N$108:$N$111,Bordeciel!$N$113:$N$118</definedName>
    <definedName name="Pénalité" localSheetId="3">Cyrodiil!$N$27:$N$34,Cyrodiil!$N$36:$N$43,Cyrodiil!$N$45:$N$53,Cyrodiil!$N$55:$N$61,Cyrodiil!$N$64:$N$70,Cyrodiil!$N$63,Cyrodiil!$N$72:$N$79,Cyrodiil!$N$81:$N$88,Cyrodiil!$N$90:$N$97,Cyrodiil!$N$99:$N$106,Cyrodiil!$N$108:$N$111,Cyrodiil!$N$113:$N$118</definedName>
    <definedName name="Pénalité" localSheetId="4">Elsweyr!$N$27:$N$34,Elsweyr!$N$36:$N$43,Elsweyr!$N$45:$N$53,Elsweyr!$N$55:$N$61,Elsweyr!$N$64:$N$70,Elsweyr!$N$63,Elsweyr!$N$72:$N$79,Elsweyr!$N$81:$N$88,Elsweyr!$N$90:$N$97,Elsweyr!$N$99:$N$106,Elsweyr!$N$108:$N$111,Elsweyr!$N$113:$N$118</definedName>
    <definedName name="Pénalité" localSheetId="5">Hauteroche!$N$27:$N$34,Hauteroche!$N$36:$N$43,Hauteroche!$N$45:$N$53,Hauteroche!$N$55:$N$61,Hauteroche!$N$64:$N$70,Hauteroche!$N$63,Hauteroche!$N$72:$N$79,Hauteroche!$N$81:$N$88,Hauteroche!$N$90:$N$97,Hauteroche!$N$99:$N$106,Hauteroche!$N$108:$N$111,Hauteroche!$N$113:$N$118</definedName>
    <definedName name="Pénalité" localSheetId="6">Lenclume!$N$27:$N$34,Lenclume!$N$36:$N$43,Lenclume!$N$45:$N$53,Lenclume!$N$55:$N$61,Lenclume!$N$64:$N$70,Lenclume!$N$63,Lenclume!$N$72:$N$79,Lenclume!$N$81:$N$88,Lenclume!$N$90:$N$97,Lenclume!$N$99:$N$106,Lenclume!$N$108:$N$111,Lenclume!$N$113:$N$118</definedName>
    <definedName name="Pénalité" localSheetId="7">'Marais Noir'!$N$27:$N$34,'Marais Noir'!$N$36:$N$43,'Marais Noir'!$N$45:$N$53,'Marais Noir'!$N$55:$N$61,'Marais Noir'!$N$64:$N$70,'Marais Noir'!$N$63,'Marais Noir'!$N$72:$N$79,'Marais Noir'!$N$81:$N$88,'Marais Noir'!$N$90:$N$97,'Marais Noir'!$N$99:$N$106,'Marais Noir'!$N$108:$N$111,'Marais Noir'!$N$113:$N$118</definedName>
    <definedName name="Pénalité" localSheetId="8">Morrowind!$N$27:$N$34,Morrowind!$N$36:$N$43,Morrowind!$N$45:$N$53,Morrowind!$N$55:$N$61,Morrowind!$N$64:$N$70,Morrowind!$N$63,Morrowind!$N$72:$N$79,Morrowind!$N$81:$N$88,Morrowind!$N$90:$N$97,Morrowind!$N$99:$N$106,Morrowind!$N$108:$N$111,Morrowind!$N$113:$N$118</definedName>
    <definedName name="Pénalité" localSheetId="11">Orsinium!$N$27:$N$34,Orsinium!$N$36:$N$43,Orsinium!$N$45:$N$53,Orsinium!$N$55:$N$61,Orsinium!$N$64:$N$70,Orsinium!$N$63,Orsinium!$N$72:$N$79,Orsinium!$N$81:$N$88,Orsinium!$N$90:$N$97,Orsinium!$N$99:$N$106,Orsinium!$N$108:$N$111,Orsinium!$N$113:$N$118</definedName>
    <definedName name="Pénalité" localSheetId="12">Pirates!$N$27:$N$34,Pirates!$N$36:$N$43,Pirates!$N$45:$N$53,Pirates!$N$55:$N$61,Pirates!$N$64:$N$70,Pirates!$N$63,Pirates!$N$72:$N$79,Pirates!$N$81:$N$88,Pirates!$N$90:$N$97,Pirates!$N$99:$N$106,Pirates!$N$108:$N$111,Pirates!$N$113:$N$118</definedName>
    <definedName name="Pénalité" localSheetId="10">Solstheim!$N$27:$N$34,Solstheim!$N$36:$N$43,Solstheim!$N$45:$N$53,Solstheim!$N$55:$N$61,Solstheim!$N$64:$N$70,Solstheim!$N$63,Solstheim!$N$72:$N$79,Solstheim!$N$81:$N$88,Solstheim!$N$90:$N$97,Solstheim!$N$99:$N$106,Solstheim!$N$108:$N$111,Solstheim!$N$113:$N$118</definedName>
    <definedName name="Pénalité" localSheetId="9">'Val-Boisé'!$N$27:$N$34,'Val-Boisé'!$N$36:$N$43,'Val-Boisé'!$N$45:$N$53,'Val-Boisé'!$N$55:$N$61,'Val-Boisé'!$N$64:$N$70,'Val-Boisé'!$N$63,'Val-Boisé'!$N$72:$N$79,'Val-Boisé'!$N$81:$N$88,'Val-Boisé'!$N$90:$N$97,'Val-Boisé'!$N$99:$N$106,'Val-Boisé'!$N$108:$N$111,'Val-Boisé'!$N$113:$N$118</definedName>
    <definedName name="Pénalité">Alinor!$N$27:$N$34,Alinor!$N$36:$N$43,Alinor!$N$45:$N$53,Alinor!$N$55:$N$61,Alinor!$N$64:$N$70,Alinor!$N$63,Alinor!$N$72:$N$79,Alinor!$N$81:$N$88,Alinor!$N$90:$N$97,Alinor!$N$99:$N$106,Alinor!$N$108:$N$111,Alinor!$N$113:$N$118</definedName>
    <definedName name="Possession" localSheetId="2">Bordeciel!$M$27:$M$34,Bordeciel!$M$36:$M$43,Bordeciel!$M$45:$M$53,Bordeciel!$M$55:$M$61,Bordeciel!$M$63:$M$70,Bordeciel!$M$72:$M$79,Bordeciel!$M$81:$M$88,Bordeciel!$M$90:$M$97,Bordeciel!$M$99:$M$106,Bordeciel!$M$108:$M$111,Bordeciel!$M$113:$M$118</definedName>
    <definedName name="Possession" localSheetId="3">Cyrodiil!$M$27:$M$34,Cyrodiil!$M$36:$M$43,Cyrodiil!$M$45:$M$53,Cyrodiil!$M$55:$M$61,Cyrodiil!$M$63:$M$70,Cyrodiil!$M$72:$M$79,Cyrodiil!$M$81:$M$88,Cyrodiil!$M$90:$M$97,Cyrodiil!$M$99:$M$106,Cyrodiil!$M$108:$M$111,Cyrodiil!$M$113:$M$118</definedName>
    <definedName name="Possession" localSheetId="4">Elsweyr!$M$27:$M$34,Elsweyr!$M$36:$M$43,Elsweyr!$M$45:$M$53,Elsweyr!$M$55:$M$61,Elsweyr!$M$63:$M$70,Elsweyr!$M$72:$M$79,Elsweyr!$M$81:$M$88,Elsweyr!$M$90:$M$97,Elsweyr!$M$99:$M$106,Elsweyr!$M$108:$M$111,Elsweyr!$M$113:$M$118</definedName>
    <definedName name="Possession" localSheetId="5">Hauteroche!$M$27:$M$34,Hauteroche!$M$36:$M$43,Hauteroche!$M$45:$M$53,Hauteroche!$M$55:$M$61,Hauteroche!$M$63:$M$70,Hauteroche!$M$72:$M$79,Hauteroche!$M$81:$M$88,Hauteroche!$M$90:$M$97,Hauteroche!$M$99:$M$106,Hauteroche!$M$108:$M$111,Hauteroche!$M$113:$M$118</definedName>
    <definedName name="Possession" localSheetId="6">Lenclume!$M$27:$M$34,Lenclume!$M$36:$M$43,Lenclume!$M$45:$M$53,Lenclume!$M$55:$M$61,Lenclume!$M$63:$M$70,Lenclume!$M$72:$M$79,Lenclume!$M$81:$M$88,Lenclume!$M$90:$M$97,Lenclume!$M$99:$M$106,Lenclume!$M$108:$M$111,Lenclume!$M$113:$M$118</definedName>
    <definedName name="Possession" localSheetId="7">'Marais Noir'!$M$27:$M$34,'Marais Noir'!$M$36:$M$43,'Marais Noir'!$M$45:$M$53,'Marais Noir'!$M$55:$M$61,'Marais Noir'!$M$63:$M$70,'Marais Noir'!$M$72:$M$79,'Marais Noir'!$M$81:$M$88,'Marais Noir'!$M$90:$M$97,'Marais Noir'!$M$99:$M$106,'Marais Noir'!$M$108:$M$111,'Marais Noir'!$M$113:$M$118</definedName>
    <definedName name="Possession" localSheetId="8">Morrowind!$M$27:$M$34,Morrowind!$M$36:$M$43,Morrowind!$M$45:$M$53,Morrowind!$M$55:$M$61,Morrowind!$M$63:$M$70,Morrowind!$M$72:$M$79,Morrowind!$M$81:$M$88,Morrowind!$M$90:$M$97,Morrowind!$M$99:$M$106,Morrowind!$M$108:$M$111,Morrowind!$M$113:$M$118</definedName>
    <definedName name="Possession" localSheetId="11">Orsinium!$M$27:$M$34,Orsinium!$M$36:$M$43,Orsinium!$M$45:$M$53,Orsinium!$M$55:$M$61,Orsinium!$M$63:$M$70,Orsinium!$M$72:$M$79,Orsinium!$M$81:$M$88,Orsinium!$M$90:$M$97,Orsinium!$M$99:$M$106,Orsinium!$M$108:$M$111,Orsinium!$M$113:$M$118</definedName>
    <definedName name="Possession" localSheetId="12">Pirates!$M$27:$M$34,Pirates!$M$36:$M$43,Pirates!$M$45:$M$53,Pirates!$M$55:$M$61,Pirates!$M$63:$M$70,Pirates!$M$72:$M$79,Pirates!$M$81:$M$88,Pirates!$M$90:$M$97,Pirates!$M$99:$M$106,Pirates!$M$108:$M$111,Pirates!$M$113:$M$118</definedName>
    <definedName name="Possession" localSheetId="10">Solstheim!$M$27:$M$34,Solstheim!$M$36:$M$43,Solstheim!$M$45:$M$53,Solstheim!$M$55:$M$61,Solstheim!$M$63:$M$70,Solstheim!$M$72:$M$79,Solstheim!$M$81:$M$88,Solstheim!$M$90:$M$97,Solstheim!$M$99:$M$106,Solstheim!$M$108:$M$111,Solstheim!$M$113:$M$118</definedName>
    <definedName name="Possession" localSheetId="9">'Val-Boisé'!$M$27:$M$34,'Val-Boisé'!$M$36:$M$43,'Val-Boisé'!$M$45:$M$53,'Val-Boisé'!$M$55:$M$61,'Val-Boisé'!$M$63:$M$70,'Val-Boisé'!$M$72:$M$79,'Val-Boisé'!$M$81:$M$88,'Val-Boisé'!$M$90:$M$97,'Val-Boisé'!$M$99:$M$106,'Val-Boisé'!$M$108:$M$111,'Val-Boisé'!$M$113:$M$118</definedName>
    <definedName name="Possession">Alinor!$M$27:$M$34,Alinor!$M$36:$M$43,Alinor!$M$45:$M$53,Alinor!$M$55:$M$61,Alinor!$M$63:$M$70,Alinor!$M$72:$M$79,Alinor!$M$81:$M$88,Alinor!$M$90:$M$97,Alinor!$M$99:$M$106,Alinor!$M$108:$M$111,Alinor!$M$113:$M$118</definedName>
    <definedName name="Provinces" localSheetId="2">Bordeciel!$A$122:$A$140</definedName>
    <definedName name="Provinces" localSheetId="3">Cyrodiil!$A$122:$A$140</definedName>
    <definedName name="Provinces" localSheetId="4">Elsweyr!$A$122:$A$140</definedName>
    <definedName name="Provinces" localSheetId="5">Hauteroche!$A$122:$A$140</definedName>
    <definedName name="Provinces" localSheetId="6">Lenclume!$A$122:$A$140</definedName>
    <definedName name="Provinces" localSheetId="7">'Marais Noir'!$A$122:$A$140</definedName>
    <definedName name="Provinces" localSheetId="8">Morrowind!$A$122:$A$140</definedName>
    <definedName name="Provinces" localSheetId="11">Orsinium!$A$122:$A$140</definedName>
    <definedName name="Provinces" localSheetId="12">Pirates!$A$122:$A$140</definedName>
    <definedName name="Provinces" localSheetId="10">Solstheim!$A$122:$A$140</definedName>
    <definedName name="Provinces" localSheetId="9">'Val-Boisé'!$A$122:$A$140</definedName>
    <definedName name="Provinces">Alinor!$A$122:$A$140</definedName>
  </definedNames>
  <calcPr calcId="145621"/>
</workbook>
</file>

<file path=xl/calcChain.xml><?xml version="1.0" encoding="utf-8"?>
<calcChain xmlns="http://schemas.openxmlformats.org/spreadsheetml/2006/main">
  <c r="Q118" i="16" l="1"/>
  <c r="E118" i="16" s="1"/>
  <c r="E127" i="16"/>
  <c r="E126" i="16"/>
  <c r="E125" i="16"/>
  <c r="E124" i="16"/>
  <c r="H118" i="16"/>
  <c r="P118" i="16"/>
  <c r="O118" i="16"/>
  <c r="Q117" i="16"/>
  <c r="O117" i="16" s="1"/>
  <c r="P117" i="16"/>
  <c r="Q116" i="16"/>
  <c r="H116" i="16" s="1"/>
  <c r="P116" i="16"/>
  <c r="O116" i="16"/>
  <c r="Q115" i="16"/>
  <c r="H115" i="16" s="1"/>
  <c r="P115" i="16"/>
  <c r="O115" i="16"/>
  <c r="J115" i="16"/>
  <c r="E115" i="16"/>
  <c r="Q114" i="16"/>
  <c r="H114" i="16" s="1"/>
  <c r="P114" i="16"/>
  <c r="O114" i="16"/>
  <c r="Q113" i="16"/>
  <c r="J113" i="16" s="1"/>
  <c r="P113" i="16"/>
  <c r="O113" i="16"/>
  <c r="Q111" i="16"/>
  <c r="P111" i="16"/>
  <c r="Q110" i="16"/>
  <c r="P110" i="16"/>
  <c r="Q109" i="16"/>
  <c r="P109" i="16"/>
  <c r="Q108" i="16"/>
  <c r="P108" i="16"/>
  <c r="Q106" i="16"/>
  <c r="P106" i="16"/>
  <c r="Q105" i="16"/>
  <c r="P105" i="16"/>
  <c r="Q104" i="16"/>
  <c r="P104" i="16"/>
  <c r="Q103" i="16"/>
  <c r="P103" i="16"/>
  <c r="Q102" i="16"/>
  <c r="P102" i="16"/>
  <c r="Q101" i="16"/>
  <c r="P101" i="16"/>
  <c r="Q100" i="16"/>
  <c r="P100" i="16"/>
  <c r="Q99" i="16"/>
  <c r="P99" i="16"/>
  <c r="Q97" i="16"/>
  <c r="P97" i="16"/>
  <c r="Q96" i="16"/>
  <c r="P96" i="16"/>
  <c r="Q95" i="16"/>
  <c r="P95" i="16"/>
  <c r="Q94" i="16"/>
  <c r="P94" i="16"/>
  <c r="Q93" i="16"/>
  <c r="P93" i="16"/>
  <c r="Q92" i="16"/>
  <c r="P92" i="16"/>
  <c r="Q91" i="16"/>
  <c r="P91" i="16"/>
  <c r="Q90" i="16"/>
  <c r="P90" i="16"/>
  <c r="Q88" i="16"/>
  <c r="P88" i="16"/>
  <c r="Q87" i="16"/>
  <c r="P87" i="16"/>
  <c r="Q86" i="16"/>
  <c r="P86" i="16"/>
  <c r="Q85" i="16"/>
  <c r="P85" i="16"/>
  <c r="Q84" i="16"/>
  <c r="P84" i="16"/>
  <c r="Q83" i="16"/>
  <c r="P83" i="16"/>
  <c r="Q82" i="16"/>
  <c r="P82" i="16"/>
  <c r="Q81" i="16"/>
  <c r="P81" i="16"/>
  <c r="Q79" i="16"/>
  <c r="P79" i="16"/>
  <c r="Q78" i="16"/>
  <c r="P78" i="16"/>
  <c r="Q77" i="16"/>
  <c r="P77" i="16"/>
  <c r="Q76" i="16"/>
  <c r="P76" i="16"/>
  <c r="Q75" i="16"/>
  <c r="P75" i="16"/>
  <c r="Q74" i="16"/>
  <c r="P74" i="16"/>
  <c r="Q73" i="16"/>
  <c r="P73" i="16"/>
  <c r="Q72" i="16"/>
  <c r="P72" i="16"/>
  <c r="Q70" i="16"/>
  <c r="P70" i="16"/>
  <c r="Q69" i="16"/>
  <c r="P69" i="16"/>
  <c r="Q68" i="16"/>
  <c r="P68" i="16"/>
  <c r="Q67" i="16"/>
  <c r="P67" i="16"/>
  <c r="Q66" i="16"/>
  <c r="P66" i="16"/>
  <c r="Q65" i="16"/>
  <c r="P65" i="16"/>
  <c r="Q64" i="16"/>
  <c r="P64" i="16"/>
  <c r="Q63" i="16"/>
  <c r="P63" i="16"/>
  <c r="Q61" i="16"/>
  <c r="P61" i="16"/>
  <c r="Q60" i="16"/>
  <c r="P60" i="16"/>
  <c r="Q59" i="16"/>
  <c r="P59" i="16"/>
  <c r="Q58" i="16"/>
  <c r="P58" i="16"/>
  <c r="Q57" i="16"/>
  <c r="P57" i="16"/>
  <c r="Q56" i="16"/>
  <c r="P56" i="16"/>
  <c r="Q55" i="16"/>
  <c r="P55" i="16"/>
  <c r="Q53" i="16"/>
  <c r="P53" i="16"/>
  <c r="Q52" i="16"/>
  <c r="P52" i="16"/>
  <c r="Q51" i="16"/>
  <c r="P51" i="16"/>
  <c r="Q50" i="16"/>
  <c r="P50" i="16"/>
  <c r="Q49" i="16"/>
  <c r="P49" i="16"/>
  <c r="Q48" i="16"/>
  <c r="P48" i="16"/>
  <c r="Q47" i="16"/>
  <c r="P47" i="16"/>
  <c r="Q46" i="16"/>
  <c r="P46" i="16"/>
  <c r="Q45" i="16"/>
  <c r="P45" i="16"/>
  <c r="Q43" i="16"/>
  <c r="P43" i="16"/>
  <c r="Q42" i="16"/>
  <c r="P42" i="16"/>
  <c r="Q41" i="16"/>
  <c r="P41" i="16"/>
  <c r="Q40" i="16"/>
  <c r="P40" i="16"/>
  <c r="Q39" i="16"/>
  <c r="P39" i="16"/>
  <c r="Q38" i="16"/>
  <c r="P38" i="16"/>
  <c r="Q37" i="16"/>
  <c r="P37" i="16"/>
  <c r="Q36" i="16"/>
  <c r="P36" i="16"/>
  <c r="Q34" i="16"/>
  <c r="P34" i="16"/>
  <c r="Q33" i="16"/>
  <c r="P33" i="16"/>
  <c r="Q32" i="16"/>
  <c r="P32" i="16"/>
  <c r="Q31" i="16"/>
  <c r="P31" i="16"/>
  <c r="Q30" i="16"/>
  <c r="P30" i="16"/>
  <c r="Q29" i="16"/>
  <c r="P29" i="16"/>
  <c r="Q28" i="16"/>
  <c r="P28" i="16"/>
  <c r="Q27" i="16"/>
  <c r="P27" i="16"/>
  <c r="L20" i="16"/>
  <c r="K20" i="16"/>
  <c r="J20" i="16"/>
  <c r="I20" i="16"/>
  <c r="H20" i="16"/>
  <c r="G20" i="16"/>
  <c r="F20" i="16"/>
  <c r="E20" i="16"/>
  <c r="D20" i="16"/>
  <c r="C20" i="16"/>
  <c r="L13" i="16"/>
  <c r="J13" i="16"/>
  <c r="G13" i="16"/>
  <c r="E13" i="16"/>
  <c r="D13" i="16"/>
  <c r="L11" i="16"/>
  <c r="K11" i="16"/>
  <c r="K13" i="16" s="1"/>
  <c r="J11" i="16"/>
  <c r="I11" i="16"/>
  <c r="I13" i="16" s="1"/>
  <c r="H11" i="16"/>
  <c r="H13" i="16" s="1"/>
  <c r="G11" i="16"/>
  <c r="F11" i="16"/>
  <c r="F13" i="16" s="1"/>
  <c r="E11" i="16"/>
  <c r="D11" i="16"/>
  <c r="C11" i="16"/>
  <c r="C13" i="16" s="1"/>
  <c r="E127" i="14"/>
  <c r="E126" i="14"/>
  <c r="E125" i="14"/>
  <c r="E124" i="14"/>
  <c r="Q118" i="14"/>
  <c r="P118" i="14"/>
  <c r="O118" i="14"/>
  <c r="J118" i="14"/>
  <c r="H118" i="14"/>
  <c r="E118" i="14"/>
  <c r="Q117" i="14"/>
  <c r="J117" i="14" s="1"/>
  <c r="P117" i="14"/>
  <c r="O117" i="14"/>
  <c r="H117" i="14"/>
  <c r="E117" i="14"/>
  <c r="Q116" i="14"/>
  <c r="H116" i="14" s="1"/>
  <c r="P116" i="14"/>
  <c r="O116" i="14"/>
  <c r="Q115" i="14"/>
  <c r="H115" i="14" s="1"/>
  <c r="P115" i="14"/>
  <c r="O115" i="14"/>
  <c r="J115" i="14"/>
  <c r="E115" i="14"/>
  <c r="Q114" i="14"/>
  <c r="J114" i="14" s="1"/>
  <c r="P114" i="14"/>
  <c r="O114" i="14"/>
  <c r="Q113" i="14"/>
  <c r="H113" i="14" s="1"/>
  <c r="P113" i="14"/>
  <c r="O113" i="14"/>
  <c r="J113" i="14"/>
  <c r="Q111" i="14"/>
  <c r="P111" i="14"/>
  <c r="Q110" i="14"/>
  <c r="P110" i="14"/>
  <c r="Q109" i="14"/>
  <c r="P109" i="14"/>
  <c r="Q108" i="14"/>
  <c r="P108" i="14"/>
  <c r="Q106" i="14"/>
  <c r="P106" i="14"/>
  <c r="Q105" i="14"/>
  <c r="P105" i="14"/>
  <c r="Q104" i="14"/>
  <c r="P104" i="14"/>
  <c r="Q103" i="14"/>
  <c r="P103" i="14"/>
  <c r="Q102" i="14"/>
  <c r="P102" i="14"/>
  <c r="Q101" i="14"/>
  <c r="P101" i="14"/>
  <c r="Q100" i="14"/>
  <c r="P100" i="14"/>
  <c r="Q99" i="14"/>
  <c r="P99" i="14"/>
  <c r="Q97" i="14"/>
  <c r="P97" i="14"/>
  <c r="Q96" i="14"/>
  <c r="P96" i="14"/>
  <c r="Q95" i="14"/>
  <c r="P95" i="14"/>
  <c r="Q94" i="14"/>
  <c r="P94" i="14"/>
  <c r="Q93" i="14"/>
  <c r="P93" i="14"/>
  <c r="Q92" i="14"/>
  <c r="P92" i="14"/>
  <c r="Q91" i="14"/>
  <c r="P91" i="14"/>
  <c r="Q90" i="14"/>
  <c r="P90" i="14"/>
  <c r="Q88" i="14"/>
  <c r="P88" i="14"/>
  <c r="Q87" i="14"/>
  <c r="P87" i="14"/>
  <c r="Q86" i="14"/>
  <c r="P86" i="14"/>
  <c r="Q85" i="14"/>
  <c r="P85" i="14"/>
  <c r="Q84" i="14"/>
  <c r="P84" i="14"/>
  <c r="Q83" i="14"/>
  <c r="P83" i="14"/>
  <c r="Q82" i="14"/>
  <c r="P82" i="14"/>
  <c r="Q81" i="14"/>
  <c r="P81" i="14"/>
  <c r="Q79" i="14"/>
  <c r="P79" i="14"/>
  <c r="Q78" i="14"/>
  <c r="P78" i="14"/>
  <c r="Q77" i="14"/>
  <c r="P77" i="14"/>
  <c r="Q76" i="14"/>
  <c r="P76" i="14"/>
  <c r="Q75" i="14"/>
  <c r="P75" i="14"/>
  <c r="Q74" i="14"/>
  <c r="P74" i="14"/>
  <c r="Q73" i="14"/>
  <c r="P73" i="14"/>
  <c r="Q72" i="14"/>
  <c r="P72" i="14"/>
  <c r="Q70" i="14"/>
  <c r="P70" i="14"/>
  <c r="Q69" i="14"/>
  <c r="P69" i="14"/>
  <c r="Q68" i="14"/>
  <c r="P68" i="14"/>
  <c r="Q67" i="14"/>
  <c r="P67" i="14"/>
  <c r="Q66" i="14"/>
  <c r="P66" i="14"/>
  <c r="Q65" i="14"/>
  <c r="P65" i="14"/>
  <c r="Q64" i="14"/>
  <c r="P64" i="14"/>
  <c r="Q63" i="14"/>
  <c r="P63" i="14"/>
  <c r="Q61" i="14"/>
  <c r="P61" i="14"/>
  <c r="Q60" i="14"/>
  <c r="P60" i="14"/>
  <c r="Q59" i="14"/>
  <c r="P59" i="14"/>
  <c r="Q58" i="14"/>
  <c r="P58" i="14"/>
  <c r="Q57" i="14"/>
  <c r="P57" i="14"/>
  <c r="Q56" i="14"/>
  <c r="P56" i="14"/>
  <c r="Q55" i="14"/>
  <c r="P55" i="14"/>
  <c r="Q53" i="14"/>
  <c r="P53" i="14"/>
  <c r="Q52" i="14"/>
  <c r="P52" i="14"/>
  <c r="Q51" i="14"/>
  <c r="P51" i="14"/>
  <c r="Q50" i="14"/>
  <c r="P50" i="14"/>
  <c r="Q49" i="14"/>
  <c r="P49" i="14"/>
  <c r="Q48" i="14"/>
  <c r="P48" i="14"/>
  <c r="Q47" i="14"/>
  <c r="P47" i="14"/>
  <c r="Q46" i="14"/>
  <c r="P46" i="14"/>
  <c r="Q45" i="14"/>
  <c r="P45" i="14"/>
  <c r="Q43" i="14"/>
  <c r="P43" i="14"/>
  <c r="Q42" i="14"/>
  <c r="P42" i="14"/>
  <c r="Q41" i="14"/>
  <c r="P41" i="14"/>
  <c r="Q40" i="14"/>
  <c r="P40" i="14"/>
  <c r="Q39" i="14"/>
  <c r="P39" i="14"/>
  <c r="Q38" i="14"/>
  <c r="P38" i="14"/>
  <c r="Q37" i="14"/>
  <c r="P37" i="14"/>
  <c r="Q36" i="14"/>
  <c r="P36" i="14"/>
  <c r="Q34" i="14"/>
  <c r="P34" i="14"/>
  <c r="Q33" i="14"/>
  <c r="P33" i="14"/>
  <c r="Q32" i="14"/>
  <c r="P32" i="14"/>
  <c r="Q31" i="14"/>
  <c r="P31" i="14"/>
  <c r="Q30" i="14"/>
  <c r="P30" i="14"/>
  <c r="Q29" i="14"/>
  <c r="P29" i="14"/>
  <c r="Q28" i="14"/>
  <c r="P28" i="14"/>
  <c r="Q27" i="14"/>
  <c r="P27" i="14"/>
  <c r="L20" i="14"/>
  <c r="K20" i="14"/>
  <c r="J20" i="14"/>
  <c r="I20" i="14"/>
  <c r="H20" i="14"/>
  <c r="G20" i="14"/>
  <c r="F20" i="14"/>
  <c r="E20" i="14"/>
  <c r="D20" i="14"/>
  <c r="C20" i="14"/>
  <c r="L13" i="14"/>
  <c r="J13" i="14"/>
  <c r="G13" i="14"/>
  <c r="E13" i="14"/>
  <c r="D13" i="14"/>
  <c r="L11" i="14"/>
  <c r="K11" i="14"/>
  <c r="K13" i="14" s="1"/>
  <c r="J11" i="14"/>
  <c r="I11" i="14"/>
  <c r="I13" i="14" s="1"/>
  <c r="H11" i="14"/>
  <c r="H13" i="14" s="1"/>
  <c r="G11" i="14"/>
  <c r="F11" i="14"/>
  <c r="F13" i="14" s="1"/>
  <c r="E11" i="14"/>
  <c r="D11" i="14"/>
  <c r="C11" i="14"/>
  <c r="C13" i="14" s="1"/>
  <c r="E127" i="13"/>
  <c r="E126" i="13"/>
  <c r="E125" i="13"/>
  <c r="E124" i="13"/>
  <c r="Q118" i="13"/>
  <c r="H118" i="13" s="1"/>
  <c r="P118" i="13"/>
  <c r="O118" i="13"/>
  <c r="Q117" i="13"/>
  <c r="J117" i="13" s="1"/>
  <c r="P117" i="13"/>
  <c r="O117" i="13"/>
  <c r="Q116" i="13"/>
  <c r="H116" i="13" s="1"/>
  <c r="P116" i="13"/>
  <c r="O116" i="13"/>
  <c r="Q115" i="13"/>
  <c r="P115" i="13"/>
  <c r="O115" i="13"/>
  <c r="J115" i="13"/>
  <c r="H115" i="13"/>
  <c r="E115" i="13"/>
  <c r="Q114" i="13"/>
  <c r="J114" i="13" s="1"/>
  <c r="P114" i="13"/>
  <c r="O114" i="13"/>
  <c r="E114" i="13"/>
  <c r="Q113" i="13"/>
  <c r="J113" i="13" s="1"/>
  <c r="P113" i="13"/>
  <c r="O113" i="13"/>
  <c r="Q111" i="13"/>
  <c r="P111" i="13"/>
  <c r="Q110" i="13"/>
  <c r="P110" i="13"/>
  <c r="Q109" i="13"/>
  <c r="P109" i="13"/>
  <c r="Q108" i="13"/>
  <c r="P108" i="13"/>
  <c r="Q106" i="13"/>
  <c r="P106" i="13"/>
  <c r="Q105" i="13"/>
  <c r="P105" i="13"/>
  <c r="Q104" i="13"/>
  <c r="P104" i="13"/>
  <c r="Q103" i="13"/>
  <c r="P103" i="13"/>
  <c r="Q102" i="13"/>
  <c r="P102" i="13"/>
  <c r="Q101" i="13"/>
  <c r="P101" i="13"/>
  <c r="Q100" i="13"/>
  <c r="P100" i="13"/>
  <c r="Q99" i="13"/>
  <c r="P99" i="13"/>
  <c r="Q97" i="13"/>
  <c r="P97" i="13"/>
  <c r="Q96" i="13"/>
  <c r="P96" i="13"/>
  <c r="Q95" i="13"/>
  <c r="P95" i="13"/>
  <c r="Q94" i="13"/>
  <c r="P94" i="13"/>
  <c r="Q93" i="13"/>
  <c r="P93" i="13"/>
  <c r="Q92" i="13"/>
  <c r="P92" i="13"/>
  <c r="Q91" i="13"/>
  <c r="P91" i="13"/>
  <c r="Q90" i="13"/>
  <c r="P90" i="13"/>
  <c r="Q88" i="13"/>
  <c r="P88" i="13"/>
  <c r="Q87" i="13"/>
  <c r="P87" i="13"/>
  <c r="Q86" i="13"/>
  <c r="P86" i="13"/>
  <c r="Q85" i="13"/>
  <c r="P85" i="13"/>
  <c r="Q84" i="13"/>
  <c r="P84" i="13"/>
  <c r="Q83" i="13"/>
  <c r="P83" i="13"/>
  <c r="Q82" i="13"/>
  <c r="P82" i="13"/>
  <c r="Q81" i="13"/>
  <c r="P81" i="13"/>
  <c r="Q79" i="13"/>
  <c r="P79" i="13"/>
  <c r="Q78" i="13"/>
  <c r="P78" i="13"/>
  <c r="Q77" i="13"/>
  <c r="P77" i="13"/>
  <c r="Q76" i="13"/>
  <c r="P76" i="13"/>
  <c r="Q75" i="13"/>
  <c r="P75" i="13"/>
  <c r="Q74" i="13"/>
  <c r="P74" i="13"/>
  <c r="Q73" i="13"/>
  <c r="P73" i="13"/>
  <c r="Q72" i="13"/>
  <c r="P72" i="13"/>
  <c r="Q70" i="13"/>
  <c r="P70" i="13"/>
  <c r="Q69" i="13"/>
  <c r="P69" i="13"/>
  <c r="Q68" i="13"/>
  <c r="P68" i="13"/>
  <c r="Q67" i="13"/>
  <c r="P67" i="13"/>
  <c r="Q66" i="13"/>
  <c r="P66" i="13"/>
  <c r="Q65" i="13"/>
  <c r="P65" i="13"/>
  <c r="Q64" i="13"/>
  <c r="P64" i="13"/>
  <c r="Q63" i="13"/>
  <c r="P63" i="13"/>
  <c r="Q61" i="13"/>
  <c r="P61" i="13"/>
  <c r="Q60" i="13"/>
  <c r="P60" i="13"/>
  <c r="Q59" i="13"/>
  <c r="P59" i="13"/>
  <c r="Q58" i="13"/>
  <c r="P58" i="13"/>
  <c r="Q57" i="13"/>
  <c r="P57" i="13"/>
  <c r="Q56" i="13"/>
  <c r="P56" i="13"/>
  <c r="Q55" i="13"/>
  <c r="P55" i="13"/>
  <c r="Q53" i="13"/>
  <c r="P53" i="13"/>
  <c r="Q52" i="13"/>
  <c r="P52" i="13"/>
  <c r="Q51" i="13"/>
  <c r="P51" i="13"/>
  <c r="Q50" i="13"/>
  <c r="P50" i="13"/>
  <c r="Q49" i="13"/>
  <c r="P49" i="13"/>
  <c r="Q48" i="13"/>
  <c r="P48" i="13"/>
  <c r="Q47" i="13"/>
  <c r="P47" i="13"/>
  <c r="Q46" i="13"/>
  <c r="P46" i="13"/>
  <c r="Q45" i="13"/>
  <c r="P45" i="13"/>
  <c r="Q43" i="13"/>
  <c r="P43" i="13"/>
  <c r="Q42" i="13"/>
  <c r="P42" i="13"/>
  <c r="Q41" i="13"/>
  <c r="P41" i="13"/>
  <c r="Q40" i="13"/>
  <c r="P40" i="13"/>
  <c r="Q39" i="13"/>
  <c r="P39" i="13"/>
  <c r="Q38" i="13"/>
  <c r="P38" i="13"/>
  <c r="Q37" i="13"/>
  <c r="P37" i="13"/>
  <c r="Q36" i="13"/>
  <c r="P36" i="13"/>
  <c r="Q34" i="13"/>
  <c r="P34" i="13"/>
  <c r="Q33" i="13"/>
  <c r="P33" i="13"/>
  <c r="Q32" i="13"/>
  <c r="P32" i="13"/>
  <c r="Q31" i="13"/>
  <c r="P31" i="13"/>
  <c r="Q30" i="13"/>
  <c r="P30" i="13"/>
  <c r="Q29" i="13"/>
  <c r="P29" i="13"/>
  <c r="Q28" i="13"/>
  <c r="P28" i="13"/>
  <c r="Q27" i="13"/>
  <c r="P27" i="13"/>
  <c r="L20" i="13"/>
  <c r="K20" i="13"/>
  <c r="J20" i="13"/>
  <c r="I20" i="13"/>
  <c r="H20" i="13"/>
  <c r="G20" i="13"/>
  <c r="F20" i="13"/>
  <c r="E20" i="13"/>
  <c r="D20" i="13"/>
  <c r="C20" i="13"/>
  <c r="L13" i="13"/>
  <c r="K13" i="13"/>
  <c r="J13" i="13"/>
  <c r="E13" i="13"/>
  <c r="D13" i="13"/>
  <c r="C13" i="13"/>
  <c r="L11" i="13"/>
  <c r="K11" i="13"/>
  <c r="J11" i="13"/>
  <c r="I11" i="13"/>
  <c r="I13" i="13" s="1"/>
  <c r="H11" i="13"/>
  <c r="H13" i="13" s="1"/>
  <c r="G11" i="13"/>
  <c r="G13" i="13" s="1"/>
  <c r="F11" i="13"/>
  <c r="F13" i="13" s="1"/>
  <c r="E11" i="13"/>
  <c r="D11" i="13"/>
  <c r="C11" i="13"/>
  <c r="E127" i="12"/>
  <c r="E126" i="12"/>
  <c r="E125" i="12"/>
  <c r="E124" i="12"/>
  <c r="Q118" i="12"/>
  <c r="H118" i="12" s="1"/>
  <c r="P118" i="12"/>
  <c r="O118" i="12"/>
  <c r="J118" i="12"/>
  <c r="E118" i="12"/>
  <c r="Q117" i="12"/>
  <c r="J117" i="12" s="1"/>
  <c r="P117" i="12"/>
  <c r="O117" i="12"/>
  <c r="Q116" i="12"/>
  <c r="P116" i="12"/>
  <c r="O116" i="12"/>
  <c r="J116" i="12"/>
  <c r="H116" i="12"/>
  <c r="E116" i="12"/>
  <c r="Q115" i="12"/>
  <c r="J115" i="12" s="1"/>
  <c r="P115" i="12"/>
  <c r="O115" i="12"/>
  <c r="E115" i="12"/>
  <c r="Q114" i="12"/>
  <c r="H114" i="12" s="1"/>
  <c r="P114" i="12"/>
  <c r="O114" i="12"/>
  <c r="Q113" i="12"/>
  <c r="J113" i="12" s="1"/>
  <c r="P113" i="12"/>
  <c r="O113" i="12"/>
  <c r="E113" i="12"/>
  <c r="Q111" i="12"/>
  <c r="P111" i="12"/>
  <c r="Q110" i="12"/>
  <c r="P110" i="12"/>
  <c r="Q109" i="12"/>
  <c r="P109" i="12"/>
  <c r="Q108" i="12"/>
  <c r="P108" i="12"/>
  <c r="Q106" i="12"/>
  <c r="P106" i="12"/>
  <c r="Q105" i="12"/>
  <c r="P105" i="12"/>
  <c r="Q104" i="12"/>
  <c r="P104" i="12"/>
  <c r="Q103" i="12"/>
  <c r="P103" i="12"/>
  <c r="Q102" i="12"/>
  <c r="P102" i="12"/>
  <c r="Q101" i="12"/>
  <c r="P101" i="12"/>
  <c r="Q100" i="12"/>
  <c r="P100" i="12"/>
  <c r="Q99" i="12"/>
  <c r="P99" i="12"/>
  <c r="Q97" i="12"/>
  <c r="P97" i="12"/>
  <c r="Q96" i="12"/>
  <c r="P96" i="12"/>
  <c r="Q95" i="12"/>
  <c r="P95" i="12"/>
  <c r="Q94" i="12"/>
  <c r="P94" i="12"/>
  <c r="Q93" i="12"/>
  <c r="P93" i="12"/>
  <c r="Q92" i="12"/>
  <c r="P92" i="12"/>
  <c r="Q91" i="12"/>
  <c r="P91" i="12"/>
  <c r="Q90" i="12"/>
  <c r="P90" i="12"/>
  <c r="Q88" i="12"/>
  <c r="P88" i="12"/>
  <c r="Q87" i="12"/>
  <c r="P87" i="12"/>
  <c r="Q86" i="12"/>
  <c r="P86" i="12"/>
  <c r="Q85" i="12"/>
  <c r="P85" i="12"/>
  <c r="Q84" i="12"/>
  <c r="P84" i="12"/>
  <c r="Q83" i="12"/>
  <c r="P83" i="12"/>
  <c r="Q82" i="12"/>
  <c r="P82" i="12"/>
  <c r="Q81" i="12"/>
  <c r="P81" i="12"/>
  <c r="Q79" i="12"/>
  <c r="P79" i="12"/>
  <c r="Q78" i="12"/>
  <c r="P78" i="12"/>
  <c r="Q77" i="12"/>
  <c r="P77" i="12"/>
  <c r="Q76" i="12"/>
  <c r="P76" i="12"/>
  <c r="Q75" i="12"/>
  <c r="P75" i="12"/>
  <c r="Q74" i="12"/>
  <c r="P74" i="12"/>
  <c r="Q73" i="12"/>
  <c r="P73" i="12"/>
  <c r="Q72" i="12"/>
  <c r="P72" i="12"/>
  <c r="Q70" i="12"/>
  <c r="P70" i="12"/>
  <c r="Q69" i="12"/>
  <c r="P69" i="12"/>
  <c r="Q68" i="12"/>
  <c r="P68" i="12"/>
  <c r="Q67" i="12"/>
  <c r="P67" i="12"/>
  <c r="Q66" i="12"/>
  <c r="P66" i="12"/>
  <c r="Q65" i="12"/>
  <c r="P65" i="12"/>
  <c r="Q64" i="12"/>
  <c r="P64" i="12"/>
  <c r="Q63" i="12"/>
  <c r="P63" i="12"/>
  <c r="Q61" i="12"/>
  <c r="P61" i="12"/>
  <c r="Q60" i="12"/>
  <c r="P60" i="12"/>
  <c r="Q59" i="12"/>
  <c r="P59" i="12"/>
  <c r="Q58" i="12"/>
  <c r="P58" i="12"/>
  <c r="Q57" i="12"/>
  <c r="P57" i="12"/>
  <c r="Q56" i="12"/>
  <c r="P56" i="12"/>
  <c r="Q55" i="12"/>
  <c r="P55" i="12"/>
  <c r="Q53" i="12"/>
  <c r="P53" i="12"/>
  <c r="Q52" i="12"/>
  <c r="P52" i="12"/>
  <c r="Q51" i="12"/>
  <c r="P51" i="12"/>
  <c r="Q50" i="12"/>
  <c r="P50" i="12"/>
  <c r="Q49" i="12"/>
  <c r="P49" i="12"/>
  <c r="Q48" i="12"/>
  <c r="P48" i="12"/>
  <c r="Q47" i="12"/>
  <c r="P47" i="12"/>
  <c r="Q46" i="12"/>
  <c r="P46" i="12"/>
  <c r="Q45" i="12"/>
  <c r="P45" i="12"/>
  <c r="Q43" i="12"/>
  <c r="P43" i="12"/>
  <c r="Q42" i="12"/>
  <c r="P42" i="12"/>
  <c r="Q41" i="12"/>
  <c r="P41" i="12"/>
  <c r="Q40" i="12"/>
  <c r="P40" i="12"/>
  <c r="Q39" i="12"/>
  <c r="P39" i="12"/>
  <c r="Q38" i="12"/>
  <c r="P38" i="12"/>
  <c r="Q37" i="12"/>
  <c r="P37" i="12"/>
  <c r="Q36" i="12"/>
  <c r="P36" i="12"/>
  <c r="Q34" i="12"/>
  <c r="P34" i="12"/>
  <c r="Q33" i="12"/>
  <c r="P33" i="12"/>
  <c r="Q32" i="12"/>
  <c r="P32" i="12"/>
  <c r="Q31" i="12"/>
  <c r="P31" i="12"/>
  <c r="Q30" i="12"/>
  <c r="P30" i="12"/>
  <c r="Q29" i="12"/>
  <c r="P29" i="12"/>
  <c r="Q28" i="12"/>
  <c r="P28" i="12"/>
  <c r="Q27" i="12"/>
  <c r="P27" i="12"/>
  <c r="L20" i="12"/>
  <c r="K20" i="12"/>
  <c r="J20" i="12"/>
  <c r="I20" i="12"/>
  <c r="H20" i="12"/>
  <c r="G20" i="12"/>
  <c r="F20" i="12"/>
  <c r="E20" i="12"/>
  <c r="D20" i="12"/>
  <c r="C20" i="12"/>
  <c r="L13" i="12"/>
  <c r="K13" i="12"/>
  <c r="J13" i="12"/>
  <c r="I13" i="12"/>
  <c r="D13" i="12"/>
  <c r="C13" i="12"/>
  <c r="L11" i="12"/>
  <c r="K11" i="12"/>
  <c r="J11" i="12"/>
  <c r="I11" i="12"/>
  <c r="H11" i="12"/>
  <c r="H13" i="12" s="1"/>
  <c r="G11" i="12"/>
  <c r="G13" i="12" s="1"/>
  <c r="F11" i="12"/>
  <c r="F13" i="12" s="1"/>
  <c r="E11" i="12"/>
  <c r="E13" i="12" s="1"/>
  <c r="D11" i="12"/>
  <c r="C11" i="12"/>
  <c r="E127" i="11"/>
  <c r="E126" i="11"/>
  <c r="E125" i="11"/>
  <c r="E124" i="11"/>
  <c r="Q118" i="11"/>
  <c r="H118" i="11" s="1"/>
  <c r="P118" i="11"/>
  <c r="O118" i="11"/>
  <c r="J118" i="11"/>
  <c r="Q117" i="11"/>
  <c r="J117" i="11" s="1"/>
  <c r="P117" i="11"/>
  <c r="O117" i="11"/>
  <c r="Q116" i="11"/>
  <c r="H116" i="11" s="1"/>
  <c r="P116" i="11"/>
  <c r="O116" i="11"/>
  <c r="J116" i="11"/>
  <c r="Q115" i="11"/>
  <c r="P115" i="11"/>
  <c r="O115" i="11"/>
  <c r="J115" i="11"/>
  <c r="H115" i="11"/>
  <c r="E115" i="11"/>
  <c r="Q114" i="11"/>
  <c r="H114" i="11" s="1"/>
  <c r="P114" i="11"/>
  <c r="O114" i="11"/>
  <c r="E114" i="11"/>
  <c r="Q113" i="11"/>
  <c r="J113" i="11" s="1"/>
  <c r="P113" i="11"/>
  <c r="O113" i="11"/>
  <c r="Q111" i="11"/>
  <c r="P111" i="11"/>
  <c r="Q110" i="11"/>
  <c r="P110" i="11"/>
  <c r="Q109" i="11"/>
  <c r="P109" i="11"/>
  <c r="Q108" i="11"/>
  <c r="P108" i="11"/>
  <c r="Q106" i="11"/>
  <c r="P106" i="11"/>
  <c r="Q105" i="11"/>
  <c r="P105" i="11"/>
  <c r="Q104" i="11"/>
  <c r="P104" i="11"/>
  <c r="Q103" i="11"/>
  <c r="P103" i="11"/>
  <c r="Q102" i="11"/>
  <c r="P102" i="11"/>
  <c r="Q101" i="11"/>
  <c r="P101" i="11"/>
  <c r="Q100" i="11"/>
  <c r="P100" i="11"/>
  <c r="Q99" i="11"/>
  <c r="P99" i="11"/>
  <c r="Q97" i="11"/>
  <c r="P97" i="11"/>
  <c r="Q96" i="11"/>
  <c r="P96" i="11"/>
  <c r="Q95" i="11"/>
  <c r="P95" i="11"/>
  <c r="Q94" i="11"/>
  <c r="P94" i="11"/>
  <c r="Q93" i="11"/>
  <c r="P93" i="11"/>
  <c r="Q92" i="11"/>
  <c r="P92" i="11"/>
  <c r="Q91" i="11"/>
  <c r="P91" i="11"/>
  <c r="Q90" i="11"/>
  <c r="P90" i="11"/>
  <c r="Q88" i="11"/>
  <c r="P88" i="11"/>
  <c r="Q87" i="11"/>
  <c r="P87" i="11"/>
  <c r="Q86" i="11"/>
  <c r="P86" i="11"/>
  <c r="Q85" i="11"/>
  <c r="P85" i="11"/>
  <c r="Q84" i="11"/>
  <c r="P84" i="11"/>
  <c r="Q83" i="11"/>
  <c r="P83" i="11"/>
  <c r="Q82" i="11"/>
  <c r="P82" i="11"/>
  <c r="Q81" i="11"/>
  <c r="P81" i="11"/>
  <c r="Q79" i="11"/>
  <c r="P79" i="11"/>
  <c r="Q78" i="11"/>
  <c r="P78" i="11"/>
  <c r="Q77" i="11"/>
  <c r="P77" i="11"/>
  <c r="Q76" i="11"/>
  <c r="P76" i="11"/>
  <c r="Q75" i="11"/>
  <c r="P75" i="11"/>
  <c r="Q74" i="11"/>
  <c r="P74" i="11"/>
  <c r="Q73" i="11"/>
  <c r="P73" i="11"/>
  <c r="Q72" i="11"/>
  <c r="P72" i="11"/>
  <c r="Q70" i="11"/>
  <c r="P70" i="11"/>
  <c r="Q69" i="11"/>
  <c r="P69" i="11"/>
  <c r="Q68" i="11"/>
  <c r="P68" i="11"/>
  <c r="Q67" i="11"/>
  <c r="P67" i="11"/>
  <c r="Q66" i="11"/>
  <c r="P66" i="11"/>
  <c r="Q65" i="11"/>
  <c r="P65" i="11"/>
  <c r="Q64" i="11"/>
  <c r="P64" i="11"/>
  <c r="Q63" i="11"/>
  <c r="P63" i="11"/>
  <c r="Q61" i="11"/>
  <c r="P61" i="11"/>
  <c r="Q60" i="11"/>
  <c r="P60" i="11"/>
  <c r="Q59" i="11"/>
  <c r="P59" i="11"/>
  <c r="Q58" i="11"/>
  <c r="P58" i="11"/>
  <c r="Q57" i="11"/>
  <c r="P57" i="11"/>
  <c r="Q56" i="11"/>
  <c r="P56" i="11"/>
  <c r="Q55" i="11"/>
  <c r="P55" i="11"/>
  <c r="Q53" i="11"/>
  <c r="P53" i="11"/>
  <c r="Q52" i="11"/>
  <c r="P52" i="11"/>
  <c r="Q51" i="11"/>
  <c r="P51" i="11"/>
  <c r="Q50" i="11"/>
  <c r="P50" i="11"/>
  <c r="Q49" i="11"/>
  <c r="P49" i="11"/>
  <c r="Q48" i="11"/>
  <c r="P48" i="11"/>
  <c r="Q47" i="11"/>
  <c r="P47" i="11"/>
  <c r="Q46" i="11"/>
  <c r="P46" i="11"/>
  <c r="Q45" i="11"/>
  <c r="P45" i="11"/>
  <c r="Q43" i="11"/>
  <c r="P43" i="11"/>
  <c r="Q42" i="11"/>
  <c r="P42" i="11"/>
  <c r="Q41" i="11"/>
  <c r="P41" i="11"/>
  <c r="Q40" i="11"/>
  <c r="P40" i="11"/>
  <c r="Q39" i="11"/>
  <c r="P39" i="11"/>
  <c r="Q38" i="11"/>
  <c r="P38" i="11"/>
  <c r="Q37" i="11"/>
  <c r="P37" i="11"/>
  <c r="Q36" i="11"/>
  <c r="P36" i="11"/>
  <c r="Q34" i="11"/>
  <c r="P34" i="11"/>
  <c r="Q33" i="11"/>
  <c r="P33" i="11"/>
  <c r="Q32" i="11"/>
  <c r="P32" i="11"/>
  <c r="Q31" i="11"/>
  <c r="P31" i="11"/>
  <c r="Q30" i="11"/>
  <c r="P30" i="11"/>
  <c r="Q29" i="11"/>
  <c r="P29" i="11"/>
  <c r="Q28" i="11"/>
  <c r="P28" i="11"/>
  <c r="Q27" i="11"/>
  <c r="P27" i="11"/>
  <c r="L20" i="11"/>
  <c r="K20" i="11"/>
  <c r="J20" i="11"/>
  <c r="I20" i="11"/>
  <c r="H20" i="11"/>
  <c r="G20" i="11"/>
  <c r="F20" i="11"/>
  <c r="E20" i="11"/>
  <c r="D20" i="11"/>
  <c r="C20" i="11"/>
  <c r="L13" i="11"/>
  <c r="K13" i="11"/>
  <c r="J13" i="11"/>
  <c r="I13" i="11"/>
  <c r="D13" i="11"/>
  <c r="C13" i="11"/>
  <c r="L11" i="11"/>
  <c r="K11" i="11"/>
  <c r="J11" i="11"/>
  <c r="I11" i="11"/>
  <c r="H11" i="11"/>
  <c r="H13" i="11" s="1"/>
  <c r="G11" i="11"/>
  <c r="G13" i="11" s="1"/>
  <c r="F11" i="11"/>
  <c r="F13" i="11" s="1"/>
  <c r="E11" i="11"/>
  <c r="E13" i="11" s="1"/>
  <c r="D11" i="11"/>
  <c r="C11" i="11"/>
  <c r="E127" i="10"/>
  <c r="E126" i="10"/>
  <c r="E125" i="10"/>
  <c r="E124" i="10"/>
  <c r="Q118" i="10"/>
  <c r="E118" i="10" s="1"/>
  <c r="P118" i="10"/>
  <c r="O118" i="10"/>
  <c r="Q117" i="10"/>
  <c r="J117" i="10" s="1"/>
  <c r="P117" i="10"/>
  <c r="O117" i="10"/>
  <c r="E117" i="10"/>
  <c r="Q116" i="10"/>
  <c r="H116" i="10" s="1"/>
  <c r="P116" i="10"/>
  <c r="O116" i="10"/>
  <c r="Q115" i="10"/>
  <c r="J115" i="10" s="1"/>
  <c r="P115" i="10"/>
  <c r="O115" i="10"/>
  <c r="H115" i="10"/>
  <c r="E115" i="10"/>
  <c r="Q114" i="10"/>
  <c r="E114" i="10" s="1"/>
  <c r="P114" i="10"/>
  <c r="O114" i="10"/>
  <c r="J114" i="10"/>
  <c r="Q113" i="10"/>
  <c r="J113" i="10" s="1"/>
  <c r="P113" i="10"/>
  <c r="O113" i="10"/>
  <c r="Q111" i="10"/>
  <c r="P111" i="10"/>
  <c r="Q110" i="10"/>
  <c r="P110" i="10"/>
  <c r="Q109" i="10"/>
  <c r="P109" i="10"/>
  <c r="Q108" i="10"/>
  <c r="P108" i="10"/>
  <c r="Q106" i="10"/>
  <c r="P106" i="10"/>
  <c r="Q105" i="10"/>
  <c r="P105" i="10"/>
  <c r="Q104" i="10"/>
  <c r="P104" i="10"/>
  <c r="Q103" i="10"/>
  <c r="P103" i="10"/>
  <c r="Q102" i="10"/>
  <c r="P102" i="10"/>
  <c r="Q101" i="10"/>
  <c r="P101" i="10"/>
  <c r="Q100" i="10"/>
  <c r="P100" i="10"/>
  <c r="Q99" i="10"/>
  <c r="P99" i="10"/>
  <c r="Q97" i="10"/>
  <c r="P97" i="10"/>
  <c r="Q96" i="10"/>
  <c r="P96" i="10"/>
  <c r="Q95" i="10"/>
  <c r="P95" i="10"/>
  <c r="Q94" i="10"/>
  <c r="P94" i="10"/>
  <c r="Q93" i="10"/>
  <c r="P93" i="10"/>
  <c r="Q92" i="10"/>
  <c r="P92" i="10"/>
  <c r="Q91" i="10"/>
  <c r="P91" i="10"/>
  <c r="Q90" i="10"/>
  <c r="P90" i="10"/>
  <c r="Q88" i="10"/>
  <c r="P88" i="10"/>
  <c r="Q87" i="10"/>
  <c r="P87" i="10"/>
  <c r="Q86" i="10"/>
  <c r="P86" i="10"/>
  <c r="Q85" i="10"/>
  <c r="P85" i="10"/>
  <c r="Q84" i="10"/>
  <c r="P84" i="10"/>
  <c r="Q83" i="10"/>
  <c r="P83" i="10"/>
  <c r="Q82" i="10"/>
  <c r="P82" i="10"/>
  <c r="Q81" i="10"/>
  <c r="P81" i="10"/>
  <c r="Q79" i="10"/>
  <c r="P79" i="10"/>
  <c r="Q78" i="10"/>
  <c r="P78" i="10"/>
  <c r="Q77" i="10"/>
  <c r="P77" i="10"/>
  <c r="Q76" i="10"/>
  <c r="P76" i="10"/>
  <c r="Q75" i="10"/>
  <c r="P75" i="10"/>
  <c r="Q74" i="10"/>
  <c r="P74" i="10"/>
  <c r="Q73" i="10"/>
  <c r="P73" i="10"/>
  <c r="Q72" i="10"/>
  <c r="P72" i="10"/>
  <c r="Q70" i="10"/>
  <c r="P70" i="10"/>
  <c r="Q69" i="10"/>
  <c r="P69" i="10"/>
  <c r="Q68" i="10"/>
  <c r="P68" i="10"/>
  <c r="Q67" i="10"/>
  <c r="P67" i="10"/>
  <c r="Q66" i="10"/>
  <c r="P66" i="10"/>
  <c r="Q65" i="10"/>
  <c r="P65" i="10"/>
  <c r="Q64" i="10"/>
  <c r="P64" i="10"/>
  <c r="Q63" i="10"/>
  <c r="P63" i="10"/>
  <c r="Q61" i="10"/>
  <c r="P61" i="10"/>
  <c r="Q60" i="10"/>
  <c r="P60" i="10"/>
  <c r="Q59" i="10"/>
  <c r="P59" i="10"/>
  <c r="Q58" i="10"/>
  <c r="P58" i="10"/>
  <c r="Q57" i="10"/>
  <c r="P57" i="10"/>
  <c r="Q56" i="10"/>
  <c r="P56" i="10"/>
  <c r="Q55" i="10"/>
  <c r="P55" i="10"/>
  <c r="Q53" i="10"/>
  <c r="P53" i="10"/>
  <c r="Q52" i="10"/>
  <c r="P52" i="10"/>
  <c r="Q51" i="10"/>
  <c r="P51" i="10"/>
  <c r="Q50" i="10"/>
  <c r="P50" i="10"/>
  <c r="Q49" i="10"/>
  <c r="P49" i="10"/>
  <c r="Q48" i="10"/>
  <c r="P48" i="10"/>
  <c r="Q47" i="10"/>
  <c r="P47" i="10"/>
  <c r="Q46" i="10"/>
  <c r="P46" i="10"/>
  <c r="Q45" i="10"/>
  <c r="P45" i="10"/>
  <c r="Q43" i="10"/>
  <c r="P43" i="10"/>
  <c r="Q42" i="10"/>
  <c r="P42" i="10"/>
  <c r="Q41" i="10"/>
  <c r="P41" i="10"/>
  <c r="Q40" i="10"/>
  <c r="P40" i="10"/>
  <c r="Q39" i="10"/>
  <c r="P39" i="10"/>
  <c r="Q38" i="10"/>
  <c r="P38" i="10"/>
  <c r="Q37" i="10"/>
  <c r="P37" i="10"/>
  <c r="Q36" i="10"/>
  <c r="P36" i="10"/>
  <c r="Q34" i="10"/>
  <c r="P34" i="10"/>
  <c r="Q33" i="10"/>
  <c r="P33" i="10"/>
  <c r="Q32" i="10"/>
  <c r="P32" i="10"/>
  <c r="Q31" i="10"/>
  <c r="P31" i="10"/>
  <c r="Q30" i="10"/>
  <c r="P30" i="10"/>
  <c r="Q29" i="10"/>
  <c r="P29" i="10"/>
  <c r="Q28" i="10"/>
  <c r="P28" i="10"/>
  <c r="Q27" i="10"/>
  <c r="P27" i="10"/>
  <c r="L20" i="10"/>
  <c r="K20" i="10"/>
  <c r="J20" i="10"/>
  <c r="I20" i="10"/>
  <c r="H20" i="10"/>
  <c r="G20" i="10"/>
  <c r="F20" i="10"/>
  <c r="E20" i="10"/>
  <c r="D20" i="10"/>
  <c r="C20" i="10"/>
  <c r="K13" i="10"/>
  <c r="J13" i="10"/>
  <c r="H13" i="10"/>
  <c r="E13" i="10"/>
  <c r="C13" i="10"/>
  <c r="L11" i="10"/>
  <c r="L13" i="10" s="1"/>
  <c r="K11" i="10"/>
  <c r="J11" i="10"/>
  <c r="I11" i="10"/>
  <c r="I13" i="10" s="1"/>
  <c r="H11" i="10"/>
  <c r="G11" i="10"/>
  <c r="G13" i="10" s="1"/>
  <c r="F11" i="10"/>
  <c r="F13" i="10" s="1"/>
  <c r="E11" i="10"/>
  <c r="D11" i="10"/>
  <c r="D13" i="10" s="1"/>
  <c r="C11" i="10"/>
  <c r="E127" i="9"/>
  <c r="E126" i="9"/>
  <c r="E125" i="9"/>
  <c r="E124" i="9"/>
  <c r="Q118" i="9"/>
  <c r="J118" i="9" s="1"/>
  <c r="P118" i="9"/>
  <c r="O118" i="9"/>
  <c r="Q117" i="9"/>
  <c r="P117" i="9"/>
  <c r="O117" i="9"/>
  <c r="Q116" i="9"/>
  <c r="H116" i="9" s="1"/>
  <c r="P116" i="9"/>
  <c r="O116" i="9"/>
  <c r="Q115" i="9"/>
  <c r="P115" i="9"/>
  <c r="O115" i="9"/>
  <c r="J115" i="9"/>
  <c r="H115" i="9"/>
  <c r="E115" i="9"/>
  <c r="Q114" i="9"/>
  <c r="P114" i="9"/>
  <c r="O114" i="9"/>
  <c r="J114" i="9"/>
  <c r="H114" i="9"/>
  <c r="E114" i="9"/>
  <c r="Q113" i="9"/>
  <c r="P113" i="9"/>
  <c r="O113" i="9"/>
  <c r="Q111" i="9"/>
  <c r="P111" i="9"/>
  <c r="Q110" i="9"/>
  <c r="P110" i="9"/>
  <c r="Q109" i="9"/>
  <c r="P109" i="9"/>
  <c r="Q108" i="9"/>
  <c r="P108" i="9"/>
  <c r="Q106" i="9"/>
  <c r="P106" i="9"/>
  <c r="Q105" i="9"/>
  <c r="P105" i="9"/>
  <c r="Q104" i="9"/>
  <c r="P104" i="9"/>
  <c r="Q103" i="9"/>
  <c r="P103" i="9"/>
  <c r="Q102" i="9"/>
  <c r="P102" i="9"/>
  <c r="Q101" i="9"/>
  <c r="P101" i="9"/>
  <c r="Q100" i="9"/>
  <c r="P100" i="9"/>
  <c r="Q99" i="9"/>
  <c r="P99" i="9"/>
  <c r="Q97" i="9"/>
  <c r="P97" i="9"/>
  <c r="Q96" i="9"/>
  <c r="P96" i="9"/>
  <c r="Q95" i="9"/>
  <c r="P95" i="9"/>
  <c r="Q94" i="9"/>
  <c r="P94" i="9"/>
  <c r="Q93" i="9"/>
  <c r="P93" i="9"/>
  <c r="Q92" i="9"/>
  <c r="P92" i="9"/>
  <c r="Q91" i="9"/>
  <c r="P91" i="9"/>
  <c r="Q90" i="9"/>
  <c r="P90" i="9"/>
  <c r="Q88" i="9"/>
  <c r="P88" i="9"/>
  <c r="Q87" i="9"/>
  <c r="P87" i="9"/>
  <c r="Q86" i="9"/>
  <c r="P86" i="9"/>
  <c r="Q85" i="9"/>
  <c r="P85" i="9"/>
  <c r="Q84" i="9"/>
  <c r="P84" i="9"/>
  <c r="Q83" i="9"/>
  <c r="P83" i="9"/>
  <c r="Q82" i="9"/>
  <c r="P82" i="9"/>
  <c r="Q81" i="9"/>
  <c r="P81" i="9"/>
  <c r="Q79" i="9"/>
  <c r="P79" i="9"/>
  <c r="Q78" i="9"/>
  <c r="P78" i="9"/>
  <c r="Q77" i="9"/>
  <c r="P77" i="9"/>
  <c r="Q76" i="9"/>
  <c r="P76" i="9"/>
  <c r="Q75" i="9"/>
  <c r="P75" i="9"/>
  <c r="Q74" i="9"/>
  <c r="P74" i="9"/>
  <c r="Q73" i="9"/>
  <c r="P73" i="9"/>
  <c r="Q72" i="9"/>
  <c r="P72" i="9"/>
  <c r="Q70" i="9"/>
  <c r="P70" i="9"/>
  <c r="Q69" i="9"/>
  <c r="P69" i="9"/>
  <c r="Q68" i="9"/>
  <c r="P68" i="9"/>
  <c r="Q67" i="9"/>
  <c r="P67" i="9"/>
  <c r="Q66" i="9"/>
  <c r="P66" i="9"/>
  <c r="Q65" i="9"/>
  <c r="P65" i="9"/>
  <c r="Q64" i="9"/>
  <c r="P64" i="9"/>
  <c r="Q63" i="9"/>
  <c r="P63" i="9"/>
  <c r="Q61" i="9"/>
  <c r="P61" i="9"/>
  <c r="Q60" i="9"/>
  <c r="P60" i="9"/>
  <c r="Q59" i="9"/>
  <c r="P59" i="9"/>
  <c r="Q58" i="9"/>
  <c r="P58" i="9"/>
  <c r="Q57" i="9"/>
  <c r="P57" i="9"/>
  <c r="Q56" i="9"/>
  <c r="P56" i="9"/>
  <c r="Q55" i="9"/>
  <c r="P55" i="9"/>
  <c r="Q53" i="9"/>
  <c r="P53" i="9"/>
  <c r="Q52" i="9"/>
  <c r="P52" i="9"/>
  <c r="Q51" i="9"/>
  <c r="P51" i="9"/>
  <c r="Q50" i="9"/>
  <c r="P50" i="9"/>
  <c r="Q49" i="9"/>
  <c r="P49" i="9"/>
  <c r="Q48" i="9"/>
  <c r="P48" i="9"/>
  <c r="Q47" i="9"/>
  <c r="P47" i="9"/>
  <c r="Q46" i="9"/>
  <c r="P46" i="9"/>
  <c r="Q45" i="9"/>
  <c r="P45" i="9"/>
  <c r="Q43" i="9"/>
  <c r="P43" i="9"/>
  <c r="Q42" i="9"/>
  <c r="P42" i="9"/>
  <c r="Q41" i="9"/>
  <c r="P41" i="9"/>
  <c r="Q40" i="9"/>
  <c r="P40" i="9"/>
  <c r="Q39" i="9"/>
  <c r="P39" i="9"/>
  <c r="Q38" i="9"/>
  <c r="P38" i="9"/>
  <c r="Q37" i="9"/>
  <c r="P37" i="9"/>
  <c r="Q36" i="9"/>
  <c r="P36" i="9"/>
  <c r="Q34" i="9"/>
  <c r="P34" i="9"/>
  <c r="Q33" i="9"/>
  <c r="P33" i="9"/>
  <c r="Q32" i="9"/>
  <c r="P32" i="9"/>
  <c r="Q31" i="9"/>
  <c r="P31" i="9"/>
  <c r="Q30" i="9"/>
  <c r="P30" i="9"/>
  <c r="Q29" i="9"/>
  <c r="P29" i="9"/>
  <c r="Q28" i="9"/>
  <c r="P28" i="9"/>
  <c r="Q27" i="9"/>
  <c r="P27" i="9"/>
  <c r="L20" i="9"/>
  <c r="K20" i="9"/>
  <c r="J20" i="9"/>
  <c r="I20" i="9"/>
  <c r="H20" i="9"/>
  <c r="G20" i="9"/>
  <c r="F20" i="9"/>
  <c r="E20" i="9"/>
  <c r="D20" i="9"/>
  <c r="C20" i="9"/>
  <c r="L13" i="9"/>
  <c r="K13" i="9"/>
  <c r="J13" i="9"/>
  <c r="E13" i="9"/>
  <c r="D13" i="9"/>
  <c r="C13" i="9"/>
  <c r="L11" i="9"/>
  <c r="K11" i="9"/>
  <c r="J11" i="9"/>
  <c r="I11" i="9"/>
  <c r="I13" i="9" s="1"/>
  <c r="H11" i="9"/>
  <c r="H13" i="9" s="1"/>
  <c r="G11" i="9"/>
  <c r="G13" i="9" s="1"/>
  <c r="F11" i="9"/>
  <c r="F13" i="9" s="1"/>
  <c r="E11" i="9"/>
  <c r="D11" i="9"/>
  <c r="C11" i="9"/>
  <c r="E127" i="8"/>
  <c r="E126" i="8"/>
  <c r="E125" i="8"/>
  <c r="E124" i="8"/>
  <c r="Q118" i="8"/>
  <c r="H118" i="8" s="1"/>
  <c r="P118" i="8"/>
  <c r="O118" i="8"/>
  <c r="J118" i="8"/>
  <c r="E118" i="8"/>
  <c r="Q117" i="8"/>
  <c r="J117" i="8" s="1"/>
  <c r="P117" i="8"/>
  <c r="O117" i="8"/>
  <c r="Q116" i="8"/>
  <c r="E116" i="8" s="1"/>
  <c r="P116" i="8"/>
  <c r="O116" i="8"/>
  <c r="J116" i="8"/>
  <c r="H116" i="8"/>
  <c r="Q115" i="8"/>
  <c r="J115" i="8" s="1"/>
  <c r="P115" i="8"/>
  <c r="O115" i="8"/>
  <c r="Q114" i="8"/>
  <c r="H114" i="8" s="1"/>
  <c r="P114" i="8"/>
  <c r="O114" i="8"/>
  <c r="J114" i="8"/>
  <c r="Q113" i="8"/>
  <c r="J113" i="8" s="1"/>
  <c r="P113" i="8"/>
  <c r="O113" i="8"/>
  <c r="Q111" i="8"/>
  <c r="P111" i="8"/>
  <c r="Q110" i="8"/>
  <c r="P110" i="8"/>
  <c r="Q109" i="8"/>
  <c r="P109" i="8"/>
  <c r="Q108" i="8"/>
  <c r="P108" i="8"/>
  <c r="Q106" i="8"/>
  <c r="P106" i="8"/>
  <c r="Q105" i="8"/>
  <c r="P105" i="8"/>
  <c r="Q104" i="8"/>
  <c r="P104" i="8"/>
  <c r="Q103" i="8"/>
  <c r="P103" i="8"/>
  <c r="Q102" i="8"/>
  <c r="P102" i="8"/>
  <c r="Q101" i="8"/>
  <c r="P101" i="8"/>
  <c r="Q100" i="8"/>
  <c r="P100" i="8"/>
  <c r="Q99" i="8"/>
  <c r="P99" i="8"/>
  <c r="Q97" i="8"/>
  <c r="P97" i="8"/>
  <c r="Q96" i="8"/>
  <c r="P96" i="8"/>
  <c r="Q95" i="8"/>
  <c r="P95" i="8"/>
  <c r="Q94" i="8"/>
  <c r="P94" i="8"/>
  <c r="Q93" i="8"/>
  <c r="P93" i="8"/>
  <c r="Q92" i="8"/>
  <c r="P92" i="8"/>
  <c r="Q91" i="8"/>
  <c r="P91" i="8"/>
  <c r="Q90" i="8"/>
  <c r="P90" i="8"/>
  <c r="Q88" i="8"/>
  <c r="P88" i="8"/>
  <c r="Q87" i="8"/>
  <c r="P87" i="8"/>
  <c r="Q86" i="8"/>
  <c r="P86" i="8"/>
  <c r="Q85" i="8"/>
  <c r="P85" i="8"/>
  <c r="Q84" i="8"/>
  <c r="P84" i="8"/>
  <c r="Q83" i="8"/>
  <c r="P83" i="8"/>
  <c r="Q82" i="8"/>
  <c r="P82" i="8"/>
  <c r="Q81" i="8"/>
  <c r="P81" i="8"/>
  <c r="Q79" i="8"/>
  <c r="P79" i="8"/>
  <c r="Q78" i="8"/>
  <c r="P78" i="8"/>
  <c r="Q77" i="8"/>
  <c r="P77" i="8"/>
  <c r="Q76" i="8"/>
  <c r="P76" i="8"/>
  <c r="Q75" i="8"/>
  <c r="P75" i="8"/>
  <c r="Q74" i="8"/>
  <c r="P74" i="8"/>
  <c r="Q73" i="8"/>
  <c r="P73" i="8"/>
  <c r="Q72" i="8"/>
  <c r="P72" i="8"/>
  <c r="Q70" i="8"/>
  <c r="P70" i="8"/>
  <c r="Q69" i="8"/>
  <c r="P69" i="8"/>
  <c r="Q68" i="8"/>
  <c r="P68" i="8"/>
  <c r="Q67" i="8"/>
  <c r="P67" i="8"/>
  <c r="Q66" i="8"/>
  <c r="P66" i="8"/>
  <c r="Q65" i="8"/>
  <c r="P65" i="8"/>
  <c r="Q64" i="8"/>
  <c r="P64" i="8"/>
  <c r="Q63" i="8"/>
  <c r="P63" i="8"/>
  <c r="Q61" i="8"/>
  <c r="P61" i="8"/>
  <c r="Q60" i="8"/>
  <c r="P60" i="8"/>
  <c r="Q59" i="8"/>
  <c r="P59" i="8"/>
  <c r="Q58" i="8"/>
  <c r="P58" i="8"/>
  <c r="Q57" i="8"/>
  <c r="P57" i="8"/>
  <c r="Q56" i="8"/>
  <c r="P56" i="8"/>
  <c r="Q55" i="8"/>
  <c r="P55" i="8"/>
  <c r="Q53" i="8"/>
  <c r="P53" i="8"/>
  <c r="Q52" i="8"/>
  <c r="P52" i="8"/>
  <c r="Q51" i="8"/>
  <c r="P51" i="8"/>
  <c r="Q50" i="8"/>
  <c r="P50" i="8"/>
  <c r="Q49" i="8"/>
  <c r="P49" i="8"/>
  <c r="Q48" i="8"/>
  <c r="P48" i="8"/>
  <c r="Q47" i="8"/>
  <c r="P47" i="8"/>
  <c r="Q46" i="8"/>
  <c r="P46" i="8"/>
  <c r="Q45" i="8"/>
  <c r="P45" i="8"/>
  <c r="Q43" i="8"/>
  <c r="P43" i="8"/>
  <c r="Q42" i="8"/>
  <c r="P42" i="8"/>
  <c r="Q41" i="8"/>
  <c r="P41" i="8"/>
  <c r="Q40" i="8"/>
  <c r="P40" i="8"/>
  <c r="Q39" i="8"/>
  <c r="P39" i="8"/>
  <c r="Q38" i="8"/>
  <c r="P38" i="8"/>
  <c r="Q37" i="8"/>
  <c r="P37" i="8"/>
  <c r="Q36" i="8"/>
  <c r="P36" i="8"/>
  <c r="Q34" i="8"/>
  <c r="P34" i="8"/>
  <c r="Q33" i="8"/>
  <c r="P33" i="8"/>
  <c r="Q32" i="8"/>
  <c r="P32" i="8"/>
  <c r="Q31" i="8"/>
  <c r="P31" i="8"/>
  <c r="Q30" i="8"/>
  <c r="P30" i="8"/>
  <c r="Q29" i="8"/>
  <c r="P29" i="8"/>
  <c r="Q28" i="8"/>
  <c r="P28" i="8"/>
  <c r="Q27" i="8"/>
  <c r="P27" i="8"/>
  <c r="L20" i="8"/>
  <c r="K20" i="8"/>
  <c r="J20" i="8"/>
  <c r="I20" i="8"/>
  <c r="H20" i="8"/>
  <c r="G20" i="8"/>
  <c r="F20" i="8"/>
  <c r="E20" i="8"/>
  <c r="D20" i="8"/>
  <c r="C20" i="8"/>
  <c r="L13" i="8"/>
  <c r="K13" i="8"/>
  <c r="J13" i="8"/>
  <c r="I13" i="8"/>
  <c r="D13" i="8"/>
  <c r="C13" i="8"/>
  <c r="L11" i="8"/>
  <c r="K11" i="8"/>
  <c r="J11" i="8"/>
  <c r="I11" i="8"/>
  <c r="H11" i="8"/>
  <c r="H13" i="8" s="1"/>
  <c r="G11" i="8"/>
  <c r="G13" i="8" s="1"/>
  <c r="F11" i="8"/>
  <c r="F13" i="8" s="1"/>
  <c r="E11" i="8"/>
  <c r="E13" i="8" s="1"/>
  <c r="D11" i="8"/>
  <c r="C11" i="8"/>
  <c r="E127" i="7"/>
  <c r="E126" i="7"/>
  <c r="E125" i="7"/>
  <c r="E124" i="7"/>
  <c r="Q118" i="7"/>
  <c r="P118" i="7"/>
  <c r="O118" i="7"/>
  <c r="J118" i="7"/>
  <c r="H118" i="7"/>
  <c r="E118" i="7"/>
  <c r="Q117" i="7"/>
  <c r="P117" i="7"/>
  <c r="O117" i="7"/>
  <c r="Q116" i="7"/>
  <c r="H116" i="7" s="1"/>
  <c r="P116" i="7"/>
  <c r="O116" i="7"/>
  <c r="J116" i="7"/>
  <c r="Q115" i="7"/>
  <c r="H115" i="7" s="1"/>
  <c r="P115" i="7"/>
  <c r="O115" i="7"/>
  <c r="Q114" i="7"/>
  <c r="J114" i="7" s="1"/>
  <c r="P114" i="7"/>
  <c r="O114" i="7"/>
  <c r="Q113" i="7"/>
  <c r="P113" i="7"/>
  <c r="O113" i="7"/>
  <c r="Q111" i="7"/>
  <c r="P111" i="7"/>
  <c r="Q110" i="7"/>
  <c r="P110" i="7"/>
  <c r="Q109" i="7"/>
  <c r="P109" i="7"/>
  <c r="Q108" i="7"/>
  <c r="P108" i="7"/>
  <c r="Q106" i="7"/>
  <c r="P106" i="7"/>
  <c r="Q105" i="7"/>
  <c r="P105" i="7"/>
  <c r="Q104" i="7"/>
  <c r="P104" i="7"/>
  <c r="Q103" i="7"/>
  <c r="P103" i="7"/>
  <c r="Q102" i="7"/>
  <c r="P102" i="7"/>
  <c r="Q101" i="7"/>
  <c r="P101" i="7"/>
  <c r="Q100" i="7"/>
  <c r="P100" i="7"/>
  <c r="Q99" i="7"/>
  <c r="P99" i="7"/>
  <c r="Q97" i="7"/>
  <c r="P97" i="7"/>
  <c r="Q96" i="7"/>
  <c r="P96" i="7"/>
  <c r="Q95" i="7"/>
  <c r="P95" i="7"/>
  <c r="Q94" i="7"/>
  <c r="P94" i="7"/>
  <c r="Q93" i="7"/>
  <c r="P93" i="7"/>
  <c r="Q92" i="7"/>
  <c r="P92" i="7"/>
  <c r="Q91" i="7"/>
  <c r="P91" i="7"/>
  <c r="Q90" i="7"/>
  <c r="P90" i="7"/>
  <c r="Q88" i="7"/>
  <c r="P88" i="7"/>
  <c r="Q87" i="7"/>
  <c r="P87" i="7"/>
  <c r="Q86" i="7"/>
  <c r="P86" i="7"/>
  <c r="Q85" i="7"/>
  <c r="P85" i="7"/>
  <c r="Q84" i="7"/>
  <c r="P84" i="7"/>
  <c r="Q83" i="7"/>
  <c r="P83" i="7"/>
  <c r="Q82" i="7"/>
  <c r="P82" i="7"/>
  <c r="Q81" i="7"/>
  <c r="P81" i="7"/>
  <c r="Q79" i="7"/>
  <c r="P79" i="7"/>
  <c r="Q78" i="7"/>
  <c r="P78" i="7"/>
  <c r="Q77" i="7"/>
  <c r="P77" i="7"/>
  <c r="Q76" i="7"/>
  <c r="P76" i="7"/>
  <c r="Q75" i="7"/>
  <c r="P75" i="7"/>
  <c r="Q74" i="7"/>
  <c r="P74" i="7"/>
  <c r="Q73" i="7"/>
  <c r="P73" i="7"/>
  <c r="Q72" i="7"/>
  <c r="P72" i="7"/>
  <c r="Q70" i="7"/>
  <c r="P70" i="7"/>
  <c r="Q69" i="7"/>
  <c r="P69" i="7"/>
  <c r="Q68" i="7"/>
  <c r="P68" i="7"/>
  <c r="Q67" i="7"/>
  <c r="P67" i="7"/>
  <c r="Q66" i="7"/>
  <c r="P66" i="7"/>
  <c r="Q65" i="7"/>
  <c r="P65" i="7"/>
  <c r="Q64" i="7"/>
  <c r="P64" i="7"/>
  <c r="Q63" i="7"/>
  <c r="P63" i="7"/>
  <c r="Q61" i="7"/>
  <c r="P61" i="7"/>
  <c r="Q60" i="7"/>
  <c r="P60" i="7"/>
  <c r="Q59" i="7"/>
  <c r="P59" i="7"/>
  <c r="Q58" i="7"/>
  <c r="P58" i="7"/>
  <c r="Q57" i="7"/>
  <c r="P57" i="7"/>
  <c r="Q56" i="7"/>
  <c r="P56" i="7"/>
  <c r="Q55" i="7"/>
  <c r="P55" i="7"/>
  <c r="Q53" i="7"/>
  <c r="P53" i="7"/>
  <c r="Q52" i="7"/>
  <c r="P52" i="7"/>
  <c r="Q51" i="7"/>
  <c r="P51" i="7"/>
  <c r="Q50" i="7"/>
  <c r="P50" i="7"/>
  <c r="Q49" i="7"/>
  <c r="P49" i="7"/>
  <c r="Q48" i="7"/>
  <c r="P48" i="7"/>
  <c r="Q47" i="7"/>
  <c r="P47" i="7"/>
  <c r="Q46" i="7"/>
  <c r="P46" i="7"/>
  <c r="Q45" i="7"/>
  <c r="P45" i="7"/>
  <c r="Q43" i="7"/>
  <c r="P43" i="7"/>
  <c r="Q42" i="7"/>
  <c r="P42" i="7"/>
  <c r="Q41" i="7"/>
  <c r="P41" i="7"/>
  <c r="Q40" i="7"/>
  <c r="P40" i="7"/>
  <c r="Q39" i="7"/>
  <c r="P39" i="7"/>
  <c r="Q38" i="7"/>
  <c r="P38" i="7"/>
  <c r="Q37" i="7"/>
  <c r="P37" i="7"/>
  <c r="Q36" i="7"/>
  <c r="P36" i="7"/>
  <c r="Q34" i="7"/>
  <c r="P34" i="7"/>
  <c r="Q33" i="7"/>
  <c r="P33" i="7"/>
  <c r="Q32" i="7"/>
  <c r="P32" i="7"/>
  <c r="Q31" i="7"/>
  <c r="P31" i="7"/>
  <c r="Q30" i="7"/>
  <c r="P30" i="7"/>
  <c r="Q29" i="7"/>
  <c r="P29" i="7"/>
  <c r="Q28" i="7"/>
  <c r="P28" i="7"/>
  <c r="Q27" i="7"/>
  <c r="P27" i="7"/>
  <c r="L20" i="7"/>
  <c r="K20" i="7"/>
  <c r="J20" i="7"/>
  <c r="I20" i="7"/>
  <c r="H20" i="7"/>
  <c r="G20" i="7"/>
  <c r="F20" i="7"/>
  <c r="E20" i="7"/>
  <c r="D20" i="7"/>
  <c r="C20" i="7"/>
  <c r="L13" i="7"/>
  <c r="K13" i="7"/>
  <c r="J13" i="7"/>
  <c r="E13" i="7"/>
  <c r="D13" i="7"/>
  <c r="C13" i="7"/>
  <c r="L11" i="7"/>
  <c r="K11" i="7"/>
  <c r="J11" i="7"/>
  <c r="I11" i="7"/>
  <c r="I13" i="7" s="1"/>
  <c r="H11" i="7"/>
  <c r="H13" i="7" s="1"/>
  <c r="G11" i="7"/>
  <c r="G13" i="7" s="1"/>
  <c r="F11" i="7"/>
  <c r="F13" i="7" s="1"/>
  <c r="E11" i="7"/>
  <c r="D11" i="7"/>
  <c r="C11" i="7"/>
  <c r="E127" i="6"/>
  <c r="E126" i="6"/>
  <c r="E125" i="6"/>
  <c r="E124" i="6"/>
  <c r="Q118" i="6"/>
  <c r="H118" i="6" s="1"/>
  <c r="P118" i="6"/>
  <c r="O118" i="6"/>
  <c r="J118" i="6"/>
  <c r="Q117" i="6"/>
  <c r="J117" i="6" s="1"/>
  <c r="P117" i="6"/>
  <c r="O117" i="6"/>
  <c r="H117" i="6"/>
  <c r="E117" i="6"/>
  <c r="Q116" i="6"/>
  <c r="H116" i="6" s="1"/>
  <c r="P116" i="6"/>
  <c r="O116" i="6"/>
  <c r="Q115" i="6"/>
  <c r="H115" i="6" s="1"/>
  <c r="P115" i="6"/>
  <c r="O115" i="6"/>
  <c r="J115" i="6"/>
  <c r="E115" i="6"/>
  <c r="Q114" i="6"/>
  <c r="E114" i="6" s="1"/>
  <c r="P114" i="6"/>
  <c r="O114" i="6"/>
  <c r="J114" i="6"/>
  <c r="H114" i="6"/>
  <c r="Q113" i="6"/>
  <c r="J113" i="6" s="1"/>
  <c r="P113" i="6"/>
  <c r="O113" i="6"/>
  <c r="Q111" i="6"/>
  <c r="P111" i="6"/>
  <c r="Q110" i="6"/>
  <c r="P110" i="6"/>
  <c r="Q109" i="6"/>
  <c r="P109" i="6"/>
  <c r="Q108" i="6"/>
  <c r="P108" i="6"/>
  <c r="Q106" i="6"/>
  <c r="P106" i="6"/>
  <c r="Q105" i="6"/>
  <c r="P105" i="6"/>
  <c r="Q104" i="6"/>
  <c r="P104" i="6"/>
  <c r="Q103" i="6"/>
  <c r="P103" i="6"/>
  <c r="Q102" i="6"/>
  <c r="P102" i="6"/>
  <c r="Q101" i="6"/>
  <c r="P101" i="6"/>
  <c r="Q100" i="6"/>
  <c r="P100" i="6"/>
  <c r="Q99" i="6"/>
  <c r="P99" i="6"/>
  <c r="Q97" i="6"/>
  <c r="P97" i="6"/>
  <c r="Q96" i="6"/>
  <c r="P96" i="6"/>
  <c r="Q95" i="6"/>
  <c r="P95" i="6"/>
  <c r="Q94" i="6"/>
  <c r="P94" i="6"/>
  <c r="Q93" i="6"/>
  <c r="P93" i="6"/>
  <c r="Q92" i="6"/>
  <c r="P92" i="6"/>
  <c r="Q91" i="6"/>
  <c r="P91" i="6"/>
  <c r="Q90" i="6"/>
  <c r="P90" i="6"/>
  <c r="Q88" i="6"/>
  <c r="P88" i="6"/>
  <c r="Q87" i="6"/>
  <c r="P87" i="6"/>
  <c r="Q86" i="6"/>
  <c r="P86" i="6"/>
  <c r="Q85" i="6"/>
  <c r="P85" i="6"/>
  <c r="Q84" i="6"/>
  <c r="P84" i="6"/>
  <c r="Q83" i="6"/>
  <c r="P83" i="6"/>
  <c r="Q82" i="6"/>
  <c r="P82" i="6"/>
  <c r="Q81" i="6"/>
  <c r="P81" i="6"/>
  <c r="Q79" i="6"/>
  <c r="P79" i="6"/>
  <c r="Q78" i="6"/>
  <c r="P78" i="6"/>
  <c r="Q77" i="6"/>
  <c r="P77" i="6"/>
  <c r="Q76" i="6"/>
  <c r="P76" i="6"/>
  <c r="Q75" i="6"/>
  <c r="P75" i="6"/>
  <c r="Q74" i="6"/>
  <c r="P74" i="6"/>
  <c r="Q73" i="6"/>
  <c r="P73" i="6"/>
  <c r="Q72" i="6"/>
  <c r="P72" i="6"/>
  <c r="Q70" i="6"/>
  <c r="P70" i="6"/>
  <c r="Q69" i="6"/>
  <c r="P69" i="6"/>
  <c r="Q68" i="6"/>
  <c r="P68" i="6"/>
  <c r="Q67" i="6"/>
  <c r="P67" i="6"/>
  <c r="Q66" i="6"/>
  <c r="P66" i="6"/>
  <c r="Q65" i="6"/>
  <c r="P65" i="6"/>
  <c r="Q64" i="6"/>
  <c r="P64" i="6"/>
  <c r="Q63" i="6"/>
  <c r="P63" i="6"/>
  <c r="Q61" i="6"/>
  <c r="P61" i="6"/>
  <c r="Q60" i="6"/>
  <c r="P60" i="6"/>
  <c r="Q59" i="6"/>
  <c r="P59" i="6"/>
  <c r="Q58" i="6"/>
  <c r="P58" i="6"/>
  <c r="Q57" i="6"/>
  <c r="P57" i="6"/>
  <c r="Q56" i="6"/>
  <c r="P56" i="6"/>
  <c r="Q55" i="6"/>
  <c r="P55" i="6"/>
  <c r="Q53" i="6"/>
  <c r="P53" i="6"/>
  <c r="Q52" i="6"/>
  <c r="P52" i="6"/>
  <c r="Q51" i="6"/>
  <c r="P51" i="6"/>
  <c r="Q50" i="6"/>
  <c r="P50" i="6"/>
  <c r="Q49" i="6"/>
  <c r="P49" i="6"/>
  <c r="Q48" i="6"/>
  <c r="P48" i="6"/>
  <c r="Q47" i="6"/>
  <c r="P47" i="6"/>
  <c r="Q46" i="6"/>
  <c r="P46" i="6"/>
  <c r="Q45" i="6"/>
  <c r="P45" i="6"/>
  <c r="Q43" i="6"/>
  <c r="P43" i="6"/>
  <c r="Q42" i="6"/>
  <c r="P42" i="6"/>
  <c r="Q41" i="6"/>
  <c r="P41" i="6"/>
  <c r="Q40" i="6"/>
  <c r="P40" i="6"/>
  <c r="Q39" i="6"/>
  <c r="P39" i="6"/>
  <c r="Q38" i="6"/>
  <c r="P38" i="6"/>
  <c r="Q37" i="6"/>
  <c r="P37" i="6"/>
  <c r="Q36" i="6"/>
  <c r="P36" i="6"/>
  <c r="Q34" i="6"/>
  <c r="P34" i="6"/>
  <c r="Q33" i="6"/>
  <c r="P33" i="6"/>
  <c r="Q32" i="6"/>
  <c r="P32" i="6"/>
  <c r="Q31" i="6"/>
  <c r="P31" i="6"/>
  <c r="Q30" i="6"/>
  <c r="P30" i="6"/>
  <c r="Q29" i="6"/>
  <c r="P29" i="6"/>
  <c r="Q28" i="6"/>
  <c r="P28" i="6"/>
  <c r="Q27" i="6"/>
  <c r="P27" i="6"/>
  <c r="L20" i="6"/>
  <c r="K20" i="6"/>
  <c r="J20" i="6"/>
  <c r="I20" i="6"/>
  <c r="H20" i="6"/>
  <c r="G20" i="6"/>
  <c r="F20" i="6"/>
  <c r="E20" i="6"/>
  <c r="D20" i="6"/>
  <c r="C20" i="6"/>
  <c r="L13" i="6"/>
  <c r="J13" i="6"/>
  <c r="G13" i="6"/>
  <c r="E13" i="6"/>
  <c r="D13" i="6"/>
  <c r="L11" i="6"/>
  <c r="K11" i="6"/>
  <c r="K13" i="6" s="1"/>
  <c r="J11" i="6"/>
  <c r="I11" i="6"/>
  <c r="I13" i="6" s="1"/>
  <c r="H11" i="6"/>
  <c r="H13" i="6" s="1"/>
  <c r="G11" i="6"/>
  <c r="F11" i="6"/>
  <c r="F13" i="6" s="1"/>
  <c r="E11" i="6"/>
  <c r="D11" i="6"/>
  <c r="C11" i="6"/>
  <c r="C13" i="6" s="1"/>
  <c r="E127" i="5"/>
  <c r="E126" i="5"/>
  <c r="E125" i="5"/>
  <c r="E124" i="5"/>
  <c r="Q118" i="5"/>
  <c r="J118" i="5" s="1"/>
  <c r="P118" i="5"/>
  <c r="O118" i="5"/>
  <c r="H118" i="5"/>
  <c r="E118" i="5"/>
  <c r="Q117" i="5"/>
  <c r="H117" i="5" s="1"/>
  <c r="P117" i="5"/>
  <c r="O117" i="5"/>
  <c r="Q116" i="5"/>
  <c r="P116" i="5"/>
  <c r="O116" i="5"/>
  <c r="Q115" i="5"/>
  <c r="H115" i="5" s="1"/>
  <c r="P115" i="5"/>
  <c r="O115" i="5"/>
  <c r="J115" i="5"/>
  <c r="Q114" i="5"/>
  <c r="P114" i="5"/>
  <c r="O114" i="5"/>
  <c r="J114" i="5"/>
  <c r="H114" i="5"/>
  <c r="E114" i="5"/>
  <c r="Q113" i="5"/>
  <c r="P113" i="5"/>
  <c r="O113" i="5"/>
  <c r="J113" i="5"/>
  <c r="H113" i="5"/>
  <c r="E113" i="5"/>
  <c r="Q111" i="5"/>
  <c r="P111" i="5"/>
  <c r="Q110" i="5"/>
  <c r="P110" i="5"/>
  <c r="Q109" i="5"/>
  <c r="P109" i="5"/>
  <c r="Q108" i="5"/>
  <c r="P108" i="5"/>
  <c r="Q106" i="5"/>
  <c r="P106" i="5"/>
  <c r="Q105" i="5"/>
  <c r="P105" i="5"/>
  <c r="Q104" i="5"/>
  <c r="P104" i="5"/>
  <c r="Q103" i="5"/>
  <c r="P103" i="5"/>
  <c r="Q102" i="5"/>
  <c r="P102" i="5"/>
  <c r="Q101" i="5"/>
  <c r="P101" i="5"/>
  <c r="Q100" i="5"/>
  <c r="P100" i="5"/>
  <c r="Q99" i="5"/>
  <c r="P99" i="5"/>
  <c r="Q97" i="5"/>
  <c r="P97" i="5"/>
  <c r="Q96" i="5"/>
  <c r="P96" i="5"/>
  <c r="Q95" i="5"/>
  <c r="P95" i="5"/>
  <c r="Q94" i="5"/>
  <c r="P94" i="5"/>
  <c r="Q93" i="5"/>
  <c r="P93" i="5"/>
  <c r="Q92" i="5"/>
  <c r="P92" i="5"/>
  <c r="Q91" i="5"/>
  <c r="P91" i="5"/>
  <c r="Q90" i="5"/>
  <c r="P90" i="5"/>
  <c r="Q88" i="5"/>
  <c r="P88" i="5"/>
  <c r="Q87" i="5"/>
  <c r="P87" i="5"/>
  <c r="Q86" i="5"/>
  <c r="P86" i="5"/>
  <c r="Q85" i="5"/>
  <c r="P85" i="5"/>
  <c r="Q84" i="5"/>
  <c r="P84" i="5"/>
  <c r="Q83" i="5"/>
  <c r="P83" i="5"/>
  <c r="Q82" i="5"/>
  <c r="P82" i="5"/>
  <c r="Q81" i="5"/>
  <c r="P81" i="5"/>
  <c r="Q79" i="5"/>
  <c r="P79" i="5"/>
  <c r="Q78" i="5"/>
  <c r="P78" i="5"/>
  <c r="Q77" i="5"/>
  <c r="P77" i="5"/>
  <c r="Q76" i="5"/>
  <c r="P76" i="5"/>
  <c r="Q75" i="5"/>
  <c r="P75" i="5"/>
  <c r="Q74" i="5"/>
  <c r="P74" i="5"/>
  <c r="Q73" i="5"/>
  <c r="P73" i="5"/>
  <c r="Q72" i="5"/>
  <c r="P72" i="5"/>
  <c r="Q70" i="5"/>
  <c r="P70" i="5"/>
  <c r="Q69" i="5"/>
  <c r="P69" i="5"/>
  <c r="Q68" i="5"/>
  <c r="P68" i="5"/>
  <c r="Q67" i="5"/>
  <c r="P67" i="5"/>
  <c r="Q66" i="5"/>
  <c r="P66" i="5"/>
  <c r="Q65" i="5"/>
  <c r="P65" i="5"/>
  <c r="Q64" i="5"/>
  <c r="P64" i="5"/>
  <c r="Q63" i="5"/>
  <c r="P63" i="5"/>
  <c r="Q61" i="5"/>
  <c r="P61" i="5"/>
  <c r="Q60" i="5"/>
  <c r="P60" i="5"/>
  <c r="Q59" i="5"/>
  <c r="P59" i="5"/>
  <c r="Q58" i="5"/>
  <c r="P58" i="5"/>
  <c r="Q57" i="5"/>
  <c r="P57" i="5"/>
  <c r="Q56" i="5"/>
  <c r="P56" i="5"/>
  <c r="Q55" i="5"/>
  <c r="P55" i="5"/>
  <c r="Q53" i="5"/>
  <c r="P53" i="5"/>
  <c r="Q52" i="5"/>
  <c r="P52" i="5"/>
  <c r="Q51" i="5"/>
  <c r="P51" i="5"/>
  <c r="Q50" i="5"/>
  <c r="P50" i="5"/>
  <c r="Q49" i="5"/>
  <c r="P49" i="5"/>
  <c r="Q48" i="5"/>
  <c r="P48" i="5"/>
  <c r="Q47" i="5"/>
  <c r="P47" i="5"/>
  <c r="Q46" i="5"/>
  <c r="P46" i="5"/>
  <c r="Q45" i="5"/>
  <c r="P45" i="5"/>
  <c r="Q43" i="5"/>
  <c r="P43" i="5"/>
  <c r="Q42" i="5"/>
  <c r="P42" i="5"/>
  <c r="Q41" i="5"/>
  <c r="P41" i="5"/>
  <c r="Q40" i="5"/>
  <c r="P40" i="5"/>
  <c r="Q39" i="5"/>
  <c r="P39" i="5"/>
  <c r="Q38" i="5"/>
  <c r="P38" i="5"/>
  <c r="Q37" i="5"/>
  <c r="P37" i="5"/>
  <c r="Q36" i="5"/>
  <c r="P36" i="5"/>
  <c r="Q34" i="5"/>
  <c r="P34" i="5"/>
  <c r="Q33" i="5"/>
  <c r="P33" i="5"/>
  <c r="Q32" i="5"/>
  <c r="P32" i="5"/>
  <c r="Q31" i="5"/>
  <c r="P31" i="5"/>
  <c r="Q30" i="5"/>
  <c r="P30" i="5"/>
  <c r="Q29" i="5"/>
  <c r="P29" i="5"/>
  <c r="Q28" i="5"/>
  <c r="P28" i="5"/>
  <c r="Q27" i="5"/>
  <c r="P27" i="5"/>
  <c r="L20" i="5"/>
  <c r="K20" i="5"/>
  <c r="J20" i="5"/>
  <c r="I20" i="5"/>
  <c r="H20" i="5"/>
  <c r="G20" i="5"/>
  <c r="F20" i="5"/>
  <c r="E20" i="5"/>
  <c r="D20" i="5"/>
  <c r="C20" i="5"/>
  <c r="L13" i="5"/>
  <c r="G13" i="5"/>
  <c r="F13" i="5"/>
  <c r="E13" i="5"/>
  <c r="D13" i="5"/>
  <c r="L7" i="5" s="1"/>
  <c r="L11" i="5"/>
  <c r="K11" i="5"/>
  <c r="K13" i="5" s="1"/>
  <c r="J11" i="5"/>
  <c r="J13" i="5" s="1"/>
  <c r="I11" i="5"/>
  <c r="I13" i="5" s="1"/>
  <c r="H11" i="5"/>
  <c r="H13" i="5" s="1"/>
  <c r="G11" i="5"/>
  <c r="F11" i="5"/>
  <c r="E11" i="5"/>
  <c r="D11" i="5"/>
  <c r="C11" i="5"/>
  <c r="C13" i="5" s="1"/>
  <c r="L19" i="2"/>
  <c r="F19" i="2"/>
  <c r="D19" i="2"/>
  <c r="E19" i="2"/>
  <c r="G19" i="2"/>
  <c r="H19" i="2"/>
  <c r="I19" i="2"/>
  <c r="J19" i="2"/>
  <c r="K19" i="2"/>
  <c r="C19" i="2"/>
  <c r="J118" i="16" l="1"/>
  <c r="E117" i="16"/>
  <c r="J117" i="16"/>
  <c r="B119" i="13"/>
  <c r="B119" i="12"/>
  <c r="B119" i="9"/>
  <c r="E114" i="16"/>
  <c r="H117" i="16"/>
  <c r="J114" i="16"/>
  <c r="J116" i="16"/>
  <c r="E113" i="16"/>
  <c r="H113" i="16"/>
  <c r="E114" i="14"/>
  <c r="H114" i="14"/>
  <c r="E113" i="14"/>
  <c r="H114" i="13"/>
  <c r="J116" i="13"/>
  <c r="E118" i="13"/>
  <c r="J118" i="13"/>
  <c r="H115" i="12"/>
  <c r="E114" i="12"/>
  <c r="E117" i="12"/>
  <c r="J114" i="12"/>
  <c r="J114" i="11"/>
  <c r="E116" i="11"/>
  <c r="E118" i="11"/>
  <c r="H114" i="10"/>
  <c r="J116" i="10"/>
  <c r="H118" i="10"/>
  <c r="J118" i="10"/>
  <c r="E113" i="10"/>
  <c r="E118" i="9"/>
  <c r="J116" i="9"/>
  <c r="H118" i="9"/>
  <c r="H115" i="8"/>
  <c r="E115" i="8"/>
  <c r="E114" i="8"/>
  <c r="E115" i="7"/>
  <c r="E114" i="7"/>
  <c r="J115" i="7"/>
  <c r="H114" i="7"/>
  <c r="E113" i="6"/>
  <c r="H113" i="6"/>
  <c r="E118" i="6"/>
  <c r="E117" i="5"/>
  <c r="J117" i="5"/>
  <c r="B119" i="8"/>
  <c r="B119" i="7"/>
  <c r="B119" i="6"/>
  <c r="O37" i="16"/>
  <c r="D40" i="16"/>
  <c r="O48" i="16"/>
  <c r="I88" i="16"/>
  <c r="E97" i="16"/>
  <c r="I102" i="16"/>
  <c r="I106" i="16"/>
  <c r="J60" i="16"/>
  <c r="O30" i="16"/>
  <c r="D38" i="16"/>
  <c r="O41" i="16"/>
  <c r="O49" i="16"/>
  <c r="O53" i="16"/>
  <c r="H81" i="16"/>
  <c r="L90" i="16"/>
  <c r="G94" i="16"/>
  <c r="I99" i="16"/>
  <c r="O103" i="16"/>
  <c r="J51" i="16"/>
  <c r="L7" i="16"/>
  <c r="O32" i="16"/>
  <c r="C33" i="16"/>
  <c r="B119" i="16"/>
  <c r="L34" i="16"/>
  <c r="O34" i="16"/>
  <c r="O50" i="16"/>
  <c r="J55" i="16"/>
  <c r="D64" i="16"/>
  <c r="O68" i="16"/>
  <c r="J73" i="16"/>
  <c r="C82" i="16"/>
  <c r="E95" i="16"/>
  <c r="O100" i="16"/>
  <c r="O104" i="16"/>
  <c r="O109" i="16"/>
  <c r="D47" i="16"/>
  <c r="E78" i="16"/>
  <c r="H87" i="16"/>
  <c r="E96" i="16"/>
  <c r="G101" i="16"/>
  <c r="O105" i="16"/>
  <c r="G110" i="16"/>
  <c r="C67" i="16"/>
  <c r="L31" i="16"/>
  <c r="C39" i="16"/>
  <c r="E42" i="16"/>
  <c r="O52" i="16"/>
  <c r="O70" i="16"/>
  <c r="O88" i="16"/>
  <c r="O90" i="16"/>
  <c r="O102" i="16"/>
  <c r="G40" i="16"/>
  <c r="O43" i="16"/>
  <c r="O47" i="16"/>
  <c r="O60" i="16"/>
  <c r="O64" i="16"/>
  <c r="O67" i="16"/>
  <c r="O92" i="16"/>
  <c r="O95" i="16"/>
  <c r="O111" i="16"/>
  <c r="K32" i="16"/>
  <c r="G38" i="16"/>
  <c r="G41" i="16"/>
  <c r="C52" i="16"/>
  <c r="L81" i="16"/>
  <c r="H86" i="16"/>
  <c r="H90" i="16"/>
  <c r="K93" i="16"/>
  <c r="K96" i="16"/>
  <c r="G99" i="16"/>
  <c r="G68" i="16"/>
  <c r="G90" i="16"/>
  <c r="E93" i="16"/>
  <c r="O38" i="16"/>
  <c r="E52" i="16"/>
  <c r="G70" i="16"/>
  <c r="O81" i="16"/>
  <c r="H88" i="16"/>
  <c r="O96" i="16"/>
  <c r="H99" i="16"/>
  <c r="E111" i="16"/>
  <c r="E116" i="16"/>
  <c r="E90" i="16"/>
  <c r="L7" i="14"/>
  <c r="E97" i="14" s="1"/>
  <c r="B119" i="14"/>
  <c r="O34" i="14"/>
  <c r="O38" i="14"/>
  <c r="G28" i="14"/>
  <c r="O52" i="14"/>
  <c r="F85" i="14"/>
  <c r="C106" i="14"/>
  <c r="J116" i="14"/>
  <c r="O67" i="14"/>
  <c r="C52" i="14"/>
  <c r="E90" i="14"/>
  <c r="E116" i="14"/>
  <c r="O66" i="13"/>
  <c r="O79" i="13"/>
  <c r="I88" i="13"/>
  <c r="I102" i="13"/>
  <c r="O45" i="13"/>
  <c r="O53" i="13"/>
  <c r="O58" i="13"/>
  <c r="O63" i="13"/>
  <c r="L90" i="13"/>
  <c r="O94" i="13"/>
  <c r="O103" i="13"/>
  <c r="O108" i="13"/>
  <c r="O32" i="13"/>
  <c r="O41" i="13"/>
  <c r="O46" i="13"/>
  <c r="O77" i="13"/>
  <c r="O86" i="13"/>
  <c r="O91" i="13"/>
  <c r="E95" i="13"/>
  <c r="O29" i="13"/>
  <c r="O38" i="13"/>
  <c r="O42" i="13"/>
  <c r="D47" i="13"/>
  <c r="E78" i="13"/>
  <c r="O83" i="13"/>
  <c r="C92" i="13"/>
  <c r="O96" i="13"/>
  <c r="O48" i="13"/>
  <c r="O61" i="13"/>
  <c r="H70" i="13"/>
  <c r="O84" i="13"/>
  <c r="D38" i="13"/>
  <c r="D45" i="13"/>
  <c r="C61" i="13"/>
  <c r="D65" i="13"/>
  <c r="E93" i="13"/>
  <c r="E96" i="13"/>
  <c r="E113" i="13"/>
  <c r="E117" i="13"/>
  <c r="G41" i="13"/>
  <c r="I45" i="13"/>
  <c r="C52" i="13"/>
  <c r="F56" i="13"/>
  <c r="G79" i="13"/>
  <c r="L81" i="13"/>
  <c r="H86" i="13"/>
  <c r="H90" i="13"/>
  <c r="H113" i="13"/>
  <c r="H117" i="13"/>
  <c r="F81" i="13"/>
  <c r="I29" i="13"/>
  <c r="H58" i="13"/>
  <c r="J61" i="13"/>
  <c r="K65" i="13"/>
  <c r="G70" i="13"/>
  <c r="F83" i="13"/>
  <c r="H88" i="13"/>
  <c r="J90" i="13"/>
  <c r="H99" i="13"/>
  <c r="E116" i="13"/>
  <c r="L7" i="13"/>
  <c r="D66" i="12"/>
  <c r="O87" i="12"/>
  <c r="O29" i="12"/>
  <c r="C51" i="12"/>
  <c r="O106" i="12"/>
  <c r="D40" i="12"/>
  <c r="C53" i="12"/>
  <c r="L81" i="12"/>
  <c r="F84" i="12"/>
  <c r="I30" i="12"/>
  <c r="H58" i="12"/>
  <c r="L7" i="12"/>
  <c r="F72" i="12" s="1"/>
  <c r="O33" i="12"/>
  <c r="E39" i="12"/>
  <c r="E61" i="12"/>
  <c r="O85" i="12"/>
  <c r="K96" i="12"/>
  <c r="F40" i="12"/>
  <c r="O45" i="12"/>
  <c r="F52" i="12"/>
  <c r="K79" i="12"/>
  <c r="G79" i="12"/>
  <c r="C106" i="12"/>
  <c r="O76" i="12"/>
  <c r="J76" i="12"/>
  <c r="O31" i="12"/>
  <c r="K42" i="12"/>
  <c r="O56" i="12"/>
  <c r="O65" i="12"/>
  <c r="H70" i="12"/>
  <c r="K77" i="12"/>
  <c r="O86" i="12"/>
  <c r="C103" i="12"/>
  <c r="F33" i="12"/>
  <c r="F75" i="12"/>
  <c r="E90" i="12"/>
  <c r="E108" i="12"/>
  <c r="H113" i="12"/>
  <c r="H117" i="12"/>
  <c r="D34" i="12"/>
  <c r="J90" i="12"/>
  <c r="H99" i="12"/>
  <c r="O38" i="11"/>
  <c r="E46" i="11"/>
  <c r="F52" i="11"/>
  <c r="O76" i="11"/>
  <c r="K42" i="11"/>
  <c r="O57" i="11"/>
  <c r="L90" i="11"/>
  <c r="O103" i="11"/>
  <c r="O108" i="11"/>
  <c r="O50" i="11"/>
  <c r="O69" i="11"/>
  <c r="O73" i="11"/>
  <c r="O36" i="11"/>
  <c r="O82" i="11"/>
  <c r="O86" i="11"/>
  <c r="O48" i="11"/>
  <c r="O51" i="11"/>
  <c r="O83" i="11"/>
  <c r="L101" i="11"/>
  <c r="O105" i="11"/>
  <c r="O75" i="11"/>
  <c r="B119" i="11"/>
  <c r="O32" i="11"/>
  <c r="K32" i="11"/>
  <c r="G41" i="11"/>
  <c r="O56" i="11"/>
  <c r="I88" i="11"/>
  <c r="I102" i="11"/>
  <c r="O106" i="11"/>
  <c r="L7" i="11"/>
  <c r="G38" i="11" s="1"/>
  <c r="I27" i="11"/>
  <c r="C53" i="11"/>
  <c r="F72" i="11"/>
  <c r="E90" i="11"/>
  <c r="I100" i="11"/>
  <c r="C61" i="11"/>
  <c r="D65" i="11"/>
  <c r="E96" i="11"/>
  <c r="C29" i="11"/>
  <c r="F56" i="11"/>
  <c r="E61" i="11"/>
  <c r="G79" i="11"/>
  <c r="L81" i="11"/>
  <c r="K93" i="11"/>
  <c r="K96" i="11"/>
  <c r="H113" i="11"/>
  <c r="H117" i="11"/>
  <c r="E93" i="11"/>
  <c r="E113" i="11"/>
  <c r="E117" i="11"/>
  <c r="L45" i="11"/>
  <c r="E52" i="11"/>
  <c r="H58" i="11"/>
  <c r="J61" i="11"/>
  <c r="K65" i="11"/>
  <c r="J76" i="11"/>
  <c r="K79" i="11"/>
  <c r="H88" i="11"/>
  <c r="J90" i="11"/>
  <c r="H99" i="11"/>
  <c r="L7" i="10"/>
  <c r="B119" i="10"/>
  <c r="H113" i="10"/>
  <c r="H117" i="10"/>
  <c r="E116" i="10"/>
  <c r="L34" i="9"/>
  <c r="G43" i="9"/>
  <c r="L7" i="9"/>
  <c r="D34" i="9" s="1"/>
  <c r="D47" i="9"/>
  <c r="H70" i="9"/>
  <c r="K93" i="9"/>
  <c r="J60" i="9"/>
  <c r="J117" i="9"/>
  <c r="H117" i="9"/>
  <c r="E117" i="9"/>
  <c r="O79" i="9"/>
  <c r="I45" i="9"/>
  <c r="G68" i="9"/>
  <c r="O81" i="9"/>
  <c r="J113" i="9"/>
  <c r="H113" i="9"/>
  <c r="E113" i="9"/>
  <c r="O29" i="9"/>
  <c r="E116" i="9"/>
  <c r="L94" i="8"/>
  <c r="O41" i="8"/>
  <c r="O82" i="8"/>
  <c r="O53" i="8"/>
  <c r="O38" i="8"/>
  <c r="K42" i="8"/>
  <c r="O87" i="8"/>
  <c r="O96" i="8"/>
  <c r="D66" i="8"/>
  <c r="I102" i="8"/>
  <c r="L7" i="8"/>
  <c r="L63" i="8" s="1"/>
  <c r="C53" i="8"/>
  <c r="D38" i="8"/>
  <c r="K32" i="8"/>
  <c r="E65" i="8"/>
  <c r="L68" i="8"/>
  <c r="K96" i="8"/>
  <c r="G99" i="8"/>
  <c r="H113" i="8"/>
  <c r="H117" i="8"/>
  <c r="E113" i="8"/>
  <c r="E117" i="8"/>
  <c r="I29" i="8"/>
  <c r="K65" i="8"/>
  <c r="G70" i="8"/>
  <c r="H99" i="8"/>
  <c r="K108" i="8"/>
  <c r="J61" i="7"/>
  <c r="E61" i="7"/>
  <c r="C61" i="7"/>
  <c r="E78" i="7"/>
  <c r="C92" i="7"/>
  <c r="E108" i="7"/>
  <c r="O41" i="7"/>
  <c r="G41" i="7"/>
  <c r="O83" i="7"/>
  <c r="F83" i="7"/>
  <c r="L7" i="7"/>
  <c r="O72" i="7" s="1"/>
  <c r="D47" i="7"/>
  <c r="O50" i="7"/>
  <c r="F52" i="7"/>
  <c r="C52" i="7"/>
  <c r="O76" i="7"/>
  <c r="O79" i="7"/>
  <c r="K79" i="7"/>
  <c r="G79" i="7"/>
  <c r="F79" i="7"/>
  <c r="O93" i="7"/>
  <c r="E93" i="7"/>
  <c r="I102" i="7"/>
  <c r="O105" i="7"/>
  <c r="O109" i="7"/>
  <c r="G111" i="7"/>
  <c r="O36" i="7"/>
  <c r="H58" i="7"/>
  <c r="O65" i="7"/>
  <c r="D65" i="7"/>
  <c r="K65" i="7"/>
  <c r="E117" i="7"/>
  <c r="J117" i="7"/>
  <c r="H117" i="7"/>
  <c r="E95" i="7"/>
  <c r="O45" i="7"/>
  <c r="D45" i="7"/>
  <c r="I45" i="7"/>
  <c r="O56" i="7"/>
  <c r="F56" i="7"/>
  <c r="O84" i="7"/>
  <c r="O96" i="7"/>
  <c r="E96" i="7"/>
  <c r="K96" i="7"/>
  <c r="O100" i="7"/>
  <c r="O53" i="7"/>
  <c r="I81" i="7"/>
  <c r="O81" i="7"/>
  <c r="H81" i="7"/>
  <c r="F81" i="7"/>
  <c r="L81" i="7"/>
  <c r="O103" i="7"/>
  <c r="K32" i="7"/>
  <c r="I88" i="7"/>
  <c r="G68" i="7"/>
  <c r="O68" i="7"/>
  <c r="L68" i="7"/>
  <c r="O29" i="7"/>
  <c r="I29" i="7"/>
  <c r="J113" i="7"/>
  <c r="E113" i="7"/>
  <c r="H113" i="7"/>
  <c r="O86" i="7"/>
  <c r="H86" i="7"/>
  <c r="O27" i="7"/>
  <c r="L34" i="7"/>
  <c r="D34" i="7"/>
  <c r="O38" i="7"/>
  <c r="G38" i="7"/>
  <c r="D38" i="7"/>
  <c r="D64" i="7"/>
  <c r="C67" i="7"/>
  <c r="H70" i="7"/>
  <c r="O74" i="7"/>
  <c r="J74" i="7"/>
  <c r="F74" i="7"/>
  <c r="E90" i="7"/>
  <c r="G99" i="7"/>
  <c r="G90" i="7"/>
  <c r="G70" i="7"/>
  <c r="H88" i="7"/>
  <c r="J90" i="7"/>
  <c r="H99" i="7"/>
  <c r="E111" i="7"/>
  <c r="E116" i="7"/>
  <c r="L7" i="6"/>
  <c r="L34" i="6" s="1"/>
  <c r="J116" i="6"/>
  <c r="E116" i="6"/>
  <c r="O108" i="5"/>
  <c r="O83" i="5"/>
  <c r="O79" i="5"/>
  <c r="O76" i="5"/>
  <c r="O74" i="5"/>
  <c r="O65" i="5"/>
  <c r="O61" i="5"/>
  <c r="O58" i="5"/>
  <c r="O56" i="5"/>
  <c r="O45" i="5"/>
  <c r="O29" i="5"/>
  <c r="O100" i="5"/>
  <c r="O72" i="5"/>
  <c r="L68" i="5"/>
  <c r="E61" i="5"/>
  <c r="O53" i="5"/>
  <c r="O50" i="5"/>
  <c r="G41" i="5"/>
  <c r="K32" i="5"/>
  <c r="C29" i="5"/>
  <c r="K108" i="5"/>
  <c r="F83" i="5"/>
  <c r="K79" i="5"/>
  <c r="J76" i="5"/>
  <c r="J74" i="5"/>
  <c r="K65" i="5"/>
  <c r="J61" i="5"/>
  <c r="H58" i="5"/>
  <c r="H56" i="5"/>
  <c r="L45" i="5"/>
  <c r="I29" i="5"/>
  <c r="O109" i="5"/>
  <c r="E108" i="5"/>
  <c r="O105" i="5"/>
  <c r="O103" i="5"/>
  <c r="K96" i="5"/>
  <c r="K93" i="5"/>
  <c r="H86" i="5"/>
  <c r="O84" i="5"/>
  <c r="L81" i="5"/>
  <c r="G79" i="5"/>
  <c r="F74" i="5"/>
  <c r="E65" i="5"/>
  <c r="F56" i="5"/>
  <c r="O48" i="5"/>
  <c r="I45" i="5"/>
  <c r="G38" i="5"/>
  <c r="O36" i="5"/>
  <c r="O30" i="5"/>
  <c r="O27" i="5"/>
  <c r="F101" i="5"/>
  <c r="K109" i="5"/>
  <c r="H105" i="5"/>
  <c r="J103" i="5"/>
  <c r="O101" i="5"/>
  <c r="J100" i="5"/>
  <c r="E46" i="5"/>
  <c r="O55" i="5"/>
  <c r="D46" i="5"/>
  <c r="O31" i="5"/>
  <c r="L101" i="5"/>
  <c r="E90" i="5"/>
  <c r="D84" i="5"/>
  <c r="F59" i="5"/>
  <c r="E36" i="5"/>
  <c r="C30" i="5"/>
  <c r="L27" i="5"/>
  <c r="K101" i="5"/>
  <c r="O97" i="5"/>
  <c r="O94" i="5"/>
  <c r="I81" i="5"/>
  <c r="O69" i="5"/>
  <c r="C61" i="5"/>
  <c r="O46" i="5"/>
  <c r="I27" i="5"/>
  <c r="O110" i="5"/>
  <c r="L94" i="5"/>
  <c r="H81" i="5"/>
  <c r="O75" i="5"/>
  <c r="H69" i="5"/>
  <c r="O66" i="5"/>
  <c r="O40" i="5"/>
  <c r="K110" i="5"/>
  <c r="C103" i="5"/>
  <c r="H94" i="5"/>
  <c r="O91" i="5"/>
  <c r="O85" i="5"/>
  <c r="F81" i="5"/>
  <c r="O77" i="5"/>
  <c r="F75" i="5"/>
  <c r="I72" i="5"/>
  <c r="D66" i="5"/>
  <c r="O42" i="5"/>
  <c r="O106" i="5"/>
  <c r="I100" i="5"/>
  <c r="E96" i="5"/>
  <c r="G91" i="5"/>
  <c r="K77" i="5"/>
  <c r="F72" i="5"/>
  <c r="C66" i="5"/>
  <c r="D48" i="5"/>
  <c r="K42" i="5"/>
  <c r="O87" i="5"/>
  <c r="O82" i="5"/>
  <c r="E77" i="5"/>
  <c r="G68" i="5"/>
  <c r="L63" i="5"/>
  <c r="O57" i="5"/>
  <c r="F42" i="5"/>
  <c r="O39" i="5"/>
  <c r="O33" i="5"/>
  <c r="G109" i="5"/>
  <c r="E93" i="5"/>
  <c r="I87" i="5"/>
  <c r="H84" i="5"/>
  <c r="J82" i="5"/>
  <c r="F79" i="5"/>
  <c r="D63" i="5"/>
  <c r="O59" i="5"/>
  <c r="J57" i="5"/>
  <c r="H53" i="5"/>
  <c r="D45" i="5"/>
  <c r="E39" i="5"/>
  <c r="F33" i="5"/>
  <c r="K30" i="5"/>
  <c r="E109" i="5"/>
  <c r="G90" i="5"/>
  <c r="F84" i="5"/>
  <c r="D65" i="5"/>
  <c r="J59" i="5"/>
  <c r="C53" i="5"/>
  <c r="C50" i="5"/>
  <c r="D39" i="5"/>
  <c r="G36" i="5"/>
  <c r="I30" i="5"/>
  <c r="D38" i="5"/>
  <c r="O63" i="5"/>
  <c r="O51" i="5"/>
  <c r="O28" i="5"/>
  <c r="B119" i="5"/>
  <c r="O32" i="5"/>
  <c r="G43" i="5"/>
  <c r="O43" i="5"/>
  <c r="K43" i="5"/>
  <c r="D69" i="5"/>
  <c r="E78" i="5"/>
  <c r="O78" i="5"/>
  <c r="I78" i="5"/>
  <c r="O81" i="5"/>
  <c r="O86" i="5"/>
  <c r="C92" i="5"/>
  <c r="O92" i="5"/>
  <c r="L92" i="5"/>
  <c r="G94" i="5"/>
  <c r="E97" i="5"/>
  <c r="O104" i="5"/>
  <c r="C104" i="5"/>
  <c r="O41" i="5"/>
  <c r="C67" i="5"/>
  <c r="O67" i="5"/>
  <c r="D67" i="5"/>
  <c r="J73" i="5"/>
  <c r="G73" i="5"/>
  <c r="G101" i="5"/>
  <c r="G111" i="5"/>
  <c r="E111" i="5"/>
  <c r="O111" i="5"/>
  <c r="K111" i="5"/>
  <c r="D47" i="5"/>
  <c r="O47" i="5"/>
  <c r="E47" i="5"/>
  <c r="H70" i="5"/>
  <c r="G70" i="5"/>
  <c r="O70" i="5"/>
  <c r="L90" i="5"/>
  <c r="H90" i="5"/>
  <c r="J90" i="5"/>
  <c r="O90" i="5"/>
  <c r="E95" i="5"/>
  <c r="O95" i="5"/>
  <c r="G95" i="5"/>
  <c r="I99" i="5"/>
  <c r="G99" i="5"/>
  <c r="H99" i="5"/>
  <c r="O99" i="5"/>
  <c r="O93" i="5"/>
  <c r="I102" i="5"/>
  <c r="O102" i="5"/>
  <c r="L28" i="5"/>
  <c r="G28" i="5"/>
  <c r="O37" i="5"/>
  <c r="K37" i="5"/>
  <c r="O68" i="5"/>
  <c r="C82" i="5"/>
  <c r="H87" i="5"/>
  <c r="H116" i="5"/>
  <c r="E116" i="5"/>
  <c r="J116" i="5"/>
  <c r="J51" i="5"/>
  <c r="C51" i="5"/>
  <c r="J60" i="5"/>
  <c r="O60" i="5"/>
  <c r="L60" i="5"/>
  <c r="O96" i="5"/>
  <c r="I106" i="5"/>
  <c r="L31" i="5"/>
  <c r="I31" i="5"/>
  <c r="L34" i="5"/>
  <c r="D34" i="5"/>
  <c r="O34" i="5"/>
  <c r="E42" i="5"/>
  <c r="J55" i="5"/>
  <c r="D55" i="5"/>
  <c r="L85" i="5"/>
  <c r="F85" i="5"/>
  <c r="I88" i="5"/>
  <c r="H88" i="5"/>
  <c r="O88" i="5"/>
  <c r="O38" i="5"/>
  <c r="D40" i="5"/>
  <c r="G40" i="5"/>
  <c r="F40" i="5"/>
  <c r="O49" i="5"/>
  <c r="J49" i="5"/>
  <c r="F52" i="5"/>
  <c r="E52" i="5"/>
  <c r="C52" i="5"/>
  <c r="O52" i="5"/>
  <c r="D64" i="5"/>
  <c r="O64" i="5"/>
  <c r="L64" i="5"/>
  <c r="O73" i="5"/>
  <c r="G110" i="5"/>
  <c r="C33" i="5"/>
  <c r="C39" i="5"/>
  <c r="C106" i="5"/>
  <c r="D110" i="5"/>
  <c r="E115" i="5"/>
  <c r="P34" i="2"/>
  <c r="P29" i="2"/>
  <c r="P30" i="2"/>
  <c r="P31" i="2"/>
  <c r="P32" i="2"/>
  <c r="P33" i="2"/>
  <c r="P36" i="2"/>
  <c r="P37" i="2"/>
  <c r="P38" i="2"/>
  <c r="P39" i="2"/>
  <c r="P40" i="2"/>
  <c r="P41" i="2"/>
  <c r="P42" i="2"/>
  <c r="P43" i="2"/>
  <c r="P45" i="2"/>
  <c r="P46" i="2"/>
  <c r="P47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3" i="2"/>
  <c r="P64" i="2"/>
  <c r="P65" i="2"/>
  <c r="P66" i="2"/>
  <c r="P67" i="2"/>
  <c r="P68" i="2"/>
  <c r="P69" i="2"/>
  <c r="P70" i="2"/>
  <c r="P72" i="2"/>
  <c r="P73" i="2"/>
  <c r="P74" i="2"/>
  <c r="P75" i="2"/>
  <c r="P76" i="2"/>
  <c r="P77" i="2"/>
  <c r="P78" i="2"/>
  <c r="P79" i="2"/>
  <c r="P81" i="2"/>
  <c r="P82" i="2"/>
  <c r="P83" i="2"/>
  <c r="P84" i="2"/>
  <c r="P85" i="2"/>
  <c r="P86" i="2"/>
  <c r="P87" i="2"/>
  <c r="P88" i="2"/>
  <c r="P90" i="2"/>
  <c r="P91" i="2"/>
  <c r="P92" i="2"/>
  <c r="P93" i="2"/>
  <c r="P94" i="2"/>
  <c r="P95" i="2"/>
  <c r="P96" i="2"/>
  <c r="P97" i="2"/>
  <c r="P99" i="2"/>
  <c r="P100" i="2"/>
  <c r="P101" i="2"/>
  <c r="P102" i="2"/>
  <c r="P103" i="2"/>
  <c r="P104" i="2"/>
  <c r="P105" i="2"/>
  <c r="P106" i="2"/>
  <c r="P108" i="2"/>
  <c r="P109" i="2"/>
  <c r="P110" i="2"/>
  <c r="P111" i="2"/>
  <c r="P113" i="2"/>
  <c r="P114" i="2"/>
  <c r="P115" i="2"/>
  <c r="P116" i="2"/>
  <c r="P117" i="2"/>
  <c r="P118" i="2"/>
  <c r="P28" i="2"/>
  <c r="P27" i="2"/>
  <c r="E127" i="2"/>
  <c r="E124" i="2"/>
  <c r="E125" i="2"/>
  <c r="E126" i="2"/>
  <c r="Q114" i="2"/>
  <c r="Q115" i="2"/>
  <c r="Q116" i="2"/>
  <c r="Q117" i="2"/>
  <c r="Q118" i="2"/>
  <c r="Q113" i="2"/>
  <c r="D20" i="2"/>
  <c r="L11" i="2"/>
  <c r="K11" i="2"/>
  <c r="J11" i="2"/>
  <c r="I11" i="2"/>
  <c r="H11" i="2"/>
  <c r="G11" i="2"/>
  <c r="F11" i="2"/>
  <c r="E11" i="2"/>
  <c r="D11" i="2"/>
  <c r="C11" i="2"/>
  <c r="L20" i="2"/>
  <c r="K20" i="2"/>
  <c r="J20" i="2"/>
  <c r="I20" i="2"/>
  <c r="H20" i="2"/>
  <c r="G20" i="2"/>
  <c r="F20" i="2"/>
  <c r="E20" i="2"/>
  <c r="C20" i="2"/>
  <c r="O108" i="16" l="1"/>
  <c r="O83" i="16"/>
  <c r="O79" i="16"/>
  <c r="O76" i="16"/>
  <c r="O74" i="16"/>
  <c r="O65" i="16"/>
  <c r="O61" i="16"/>
  <c r="O58" i="16"/>
  <c r="O56" i="16"/>
  <c r="O45" i="16"/>
  <c r="O29" i="16"/>
  <c r="K109" i="16"/>
  <c r="J103" i="16"/>
  <c r="J100" i="16"/>
  <c r="O94" i="16"/>
  <c r="O91" i="16"/>
  <c r="O63" i="16"/>
  <c r="O46" i="16"/>
  <c r="O42" i="16"/>
  <c r="O39" i="16"/>
  <c r="G36" i="16"/>
  <c r="O110" i="16"/>
  <c r="G109" i="16"/>
  <c r="C103" i="16"/>
  <c r="L101" i="16"/>
  <c r="I100" i="16"/>
  <c r="L94" i="16"/>
  <c r="G91" i="16"/>
  <c r="O87" i="16"/>
  <c r="F84" i="16"/>
  <c r="O82" i="16"/>
  <c r="O75" i="16"/>
  <c r="F72" i="16"/>
  <c r="O69" i="16"/>
  <c r="D66" i="16"/>
  <c r="L63" i="16"/>
  <c r="J59" i="16"/>
  <c r="O57" i="16"/>
  <c r="C53" i="16"/>
  <c r="E46" i="16"/>
  <c r="K42" i="16"/>
  <c r="E39" i="16"/>
  <c r="E36" i="16"/>
  <c r="O33" i="16"/>
  <c r="I30" i="16"/>
  <c r="I27" i="16"/>
  <c r="K108" i="16"/>
  <c r="F83" i="16"/>
  <c r="K79" i="16"/>
  <c r="J76" i="16"/>
  <c r="J74" i="16"/>
  <c r="K65" i="16"/>
  <c r="J61" i="16"/>
  <c r="H58" i="16"/>
  <c r="H56" i="16"/>
  <c r="L45" i="16"/>
  <c r="I29" i="16"/>
  <c r="H105" i="16"/>
  <c r="O101" i="16"/>
  <c r="H84" i="16"/>
  <c r="F79" i="16"/>
  <c r="O77" i="16"/>
  <c r="I72" i="16"/>
  <c r="O66" i="16"/>
  <c r="D65" i="16"/>
  <c r="C61" i="16"/>
  <c r="O59" i="16"/>
  <c r="H53" i="16"/>
  <c r="C50" i="16"/>
  <c r="D48" i="16"/>
  <c r="D45" i="16"/>
  <c r="K30" i="16"/>
  <c r="L27" i="16"/>
  <c r="K77" i="16"/>
  <c r="K110" i="16"/>
  <c r="E109" i="16"/>
  <c r="O106" i="16"/>
  <c r="K101" i="16"/>
  <c r="O97" i="16"/>
  <c r="H94" i="16"/>
  <c r="I87" i="16"/>
  <c r="O85" i="16"/>
  <c r="D84" i="16"/>
  <c r="J82" i="16"/>
  <c r="F81" i="16"/>
  <c r="E77" i="16"/>
  <c r="F75" i="16"/>
  <c r="O73" i="16"/>
  <c r="H69" i="16"/>
  <c r="C66" i="16"/>
  <c r="D63" i="16"/>
  <c r="F59" i="16"/>
  <c r="J57" i="16"/>
  <c r="O55" i="16"/>
  <c r="O51" i="16"/>
  <c r="E108" i="16"/>
  <c r="G79" i="16"/>
  <c r="F74" i="16"/>
  <c r="E65" i="16"/>
  <c r="E61" i="16"/>
  <c r="F56" i="16"/>
  <c r="I45" i="16"/>
  <c r="C29" i="16"/>
  <c r="K111" i="16"/>
  <c r="D110" i="16"/>
  <c r="C106" i="16"/>
  <c r="C104" i="16"/>
  <c r="F101" i="16"/>
  <c r="G95" i="16"/>
  <c r="L92" i="16"/>
  <c r="F85" i="16"/>
  <c r="I78" i="16"/>
  <c r="G73" i="16"/>
  <c r="D67" i="16"/>
  <c r="L64" i="16"/>
  <c r="L60" i="16"/>
  <c r="D55" i="16"/>
  <c r="C51" i="16"/>
  <c r="J49" i="16"/>
  <c r="E47" i="16"/>
  <c r="K43" i="16"/>
  <c r="F40" i="16"/>
  <c r="K37" i="16"/>
  <c r="I31" i="16"/>
  <c r="G28" i="16"/>
  <c r="O40" i="16"/>
  <c r="F42" i="16"/>
  <c r="D39" i="16"/>
  <c r="O31" i="16"/>
  <c r="O28" i="16"/>
  <c r="D46" i="16"/>
  <c r="F33" i="16"/>
  <c r="C30" i="16"/>
  <c r="L85" i="16"/>
  <c r="O27" i="16"/>
  <c r="O93" i="16"/>
  <c r="G43" i="16"/>
  <c r="J90" i="16"/>
  <c r="I81" i="16"/>
  <c r="L68" i="16"/>
  <c r="O78" i="16"/>
  <c r="O99" i="16"/>
  <c r="L28" i="16"/>
  <c r="C92" i="16"/>
  <c r="O86" i="16"/>
  <c r="D34" i="16"/>
  <c r="D69" i="16"/>
  <c r="O72" i="16"/>
  <c r="O84" i="16"/>
  <c r="O36" i="16"/>
  <c r="H70" i="16"/>
  <c r="G111" i="16"/>
  <c r="F52" i="16"/>
  <c r="C39" i="14"/>
  <c r="L28" i="14"/>
  <c r="O37" i="14"/>
  <c r="G110" i="14"/>
  <c r="O93" i="14"/>
  <c r="E111" i="14"/>
  <c r="G99" i="14"/>
  <c r="G41" i="14"/>
  <c r="O64" i="14"/>
  <c r="C104" i="14"/>
  <c r="I78" i="14"/>
  <c r="C51" i="14"/>
  <c r="O109" i="14"/>
  <c r="C33" i="14"/>
  <c r="O68" i="14"/>
  <c r="O103" i="14"/>
  <c r="C67" i="14"/>
  <c r="O84" i="14"/>
  <c r="E52" i="14"/>
  <c r="L81" i="14"/>
  <c r="O92" i="14"/>
  <c r="O90" i="14"/>
  <c r="L60" i="14"/>
  <c r="K37" i="14"/>
  <c r="C82" i="14"/>
  <c r="F52" i="14"/>
  <c r="O81" i="14"/>
  <c r="I88" i="14"/>
  <c r="E78" i="14"/>
  <c r="D47" i="14"/>
  <c r="I106" i="14"/>
  <c r="G90" i="14"/>
  <c r="L68" i="14"/>
  <c r="O78" i="14"/>
  <c r="K111" i="14"/>
  <c r="O88" i="14"/>
  <c r="D55" i="14"/>
  <c r="I31" i="14"/>
  <c r="J73" i="14"/>
  <c r="O48" i="14"/>
  <c r="O72" i="14"/>
  <c r="D69" i="14"/>
  <c r="E42" i="14"/>
  <c r="O108" i="14"/>
  <c r="O83" i="14"/>
  <c r="O79" i="14"/>
  <c r="O76" i="14"/>
  <c r="O74" i="14"/>
  <c r="O65" i="14"/>
  <c r="O61" i="14"/>
  <c r="O58" i="14"/>
  <c r="O56" i="14"/>
  <c r="O45" i="14"/>
  <c r="O29" i="14"/>
  <c r="F79" i="14"/>
  <c r="G68" i="14"/>
  <c r="D65" i="14"/>
  <c r="C61" i="14"/>
  <c r="O59" i="14"/>
  <c r="D45" i="14"/>
  <c r="O39" i="14"/>
  <c r="D38" i="14"/>
  <c r="G36" i="14"/>
  <c r="G119" i="14" s="1"/>
  <c r="G12" i="14" s="1"/>
  <c r="G14" i="14" s="1"/>
  <c r="G19" i="14" s="1"/>
  <c r="G21" i="14" s="1"/>
  <c r="L27" i="14"/>
  <c r="E109" i="14"/>
  <c r="O97" i="14"/>
  <c r="I87" i="14"/>
  <c r="D84" i="14"/>
  <c r="F59" i="14"/>
  <c r="O55" i="14"/>
  <c r="O40" i="14"/>
  <c r="K108" i="14"/>
  <c r="F83" i="14"/>
  <c r="K79" i="14"/>
  <c r="J76" i="14"/>
  <c r="J74" i="14"/>
  <c r="K65" i="14"/>
  <c r="J61" i="14"/>
  <c r="H58" i="14"/>
  <c r="H56" i="14"/>
  <c r="L45" i="14"/>
  <c r="I29" i="14"/>
  <c r="K109" i="14"/>
  <c r="H105" i="14"/>
  <c r="J103" i="14"/>
  <c r="O101" i="14"/>
  <c r="J100" i="14"/>
  <c r="E96" i="14"/>
  <c r="O94" i="14"/>
  <c r="E93" i="14"/>
  <c r="O91" i="14"/>
  <c r="H84" i="14"/>
  <c r="I81" i="14"/>
  <c r="O77" i="14"/>
  <c r="I72" i="14"/>
  <c r="O66" i="14"/>
  <c r="O63" i="14"/>
  <c r="H53" i="14"/>
  <c r="C50" i="14"/>
  <c r="D48" i="14"/>
  <c r="O46" i="14"/>
  <c r="O42" i="14"/>
  <c r="O110" i="14"/>
  <c r="G109" i="14"/>
  <c r="L101" i="14"/>
  <c r="L94" i="14"/>
  <c r="G91" i="14"/>
  <c r="H81" i="14"/>
  <c r="K77" i="14"/>
  <c r="O75" i="14"/>
  <c r="F72" i="14"/>
  <c r="O69" i="14"/>
  <c r="J59" i="14"/>
  <c r="O57" i="14"/>
  <c r="C53" i="14"/>
  <c r="E39" i="14"/>
  <c r="E36" i="14"/>
  <c r="I27" i="14"/>
  <c r="E108" i="14"/>
  <c r="G79" i="14"/>
  <c r="F74" i="14"/>
  <c r="E65" i="14"/>
  <c r="E61" i="14"/>
  <c r="F56" i="14"/>
  <c r="I45" i="14"/>
  <c r="C29" i="14"/>
  <c r="K30" i="14"/>
  <c r="C103" i="14"/>
  <c r="I100" i="14"/>
  <c r="O87" i="14"/>
  <c r="F84" i="14"/>
  <c r="O82" i="14"/>
  <c r="D66" i="14"/>
  <c r="L63" i="14"/>
  <c r="E46" i="14"/>
  <c r="K42" i="14"/>
  <c r="O33" i="14"/>
  <c r="I30" i="14"/>
  <c r="O106" i="14"/>
  <c r="K101" i="14"/>
  <c r="J82" i="14"/>
  <c r="E77" i="14"/>
  <c r="O73" i="14"/>
  <c r="C66" i="14"/>
  <c r="J57" i="14"/>
  <c r="D46" i="14"/>
  <c r="D110" i="14"/>
  <c r="F101" i="14"/>
  <c r="K110" i="14"/>
  <c r="H94" i="14"/>
  <c r="O85" i="14"/>
  <c r="F81" i="14"/>
  <c r="F75" i="14"/>
  <c r="D63" i="14"/>
  <c r="O51" i="14"/>
  <c r="F42" i="14"/>
  <c r="H69" i="14"/>
  <c r="F33" i="14"/>
  <c r="C30" i="14"/>
  <c r="D39" i="14"/>
  <c r="O31" i="14"/>
  <c r="O28" i="14"/>
  <c r="L34" i="14"/>
  <c r="J90" i="14"/>
  <c r="K93" i="14"/>
  <c r="K32" i="14"/>
  <c r="O47" i="14"/>
  <c r="O99" i="14"/>
  <c r="O70" i="14"/>
  <c r="E47" i="14"/>
  <c r="O100" i="14"/>
  <c r="O27" i="14"/>
  <c r="J55" i="14"/>
  <c r="G94" i="14"/>
  <c r="O32" i="14"/>
  <c r="O96" i="14"/>
  <c r="O53" i="14"/>
  <c r="O36" i="14"/>
  <c r="O105" i="14"/>
  <c r="H99" i="14"/>
  <c r="O60" i="14"/>
  <c r="G73" i="14"/>
  <c r="O104" i="14"/>
  <c r="D64" i="14"/>
  <c r="H88" i="14"/>
  <c r="H90" i="14"/>
  <c r="O111" i="14"/>
  <c r="O43" i="14"/>
  <c r="G95" i="14"/>
  <c r="D67" i="14"/>
  <c r="K43" i="14"/>
  <c r="E95" i="14"/>
  <c r="O50" i="14"/>
  <c r="L90" i="14"/>
  <c r="C92" i="14"/>
  <c r="J60" i="14"/>
  <c r="O49" i="14"/>
  <c r="G43" i="14"/>
  <c r="D34" i="14"/>
  <c r="K96" i="14"/>
  <c r="G38" i="14"/>
  <c r="O102" i="14"/>
  <c r="J49" i="14"/>
  <c r="O30" i="14"/>
  <c r="I99" i="14"/>
  <c r="D40" i="14"/>
  <c r="G101" i="14"/>
  <c r="H70" i="14"/>
  <c r="G70" i="14"/>
  <c r="H86" i="14"/>
  <c r="O95" i="14"/>
  <c r="G40" i="14"/>
  <c r="L92" i="14"/>
  <c r="L64" i="14"/>
  <c r="F40" i="14"/>
  <c r="O86" i="14"/>
  <c r="O41" i="14"/>
  <c r="L85" i="14"/>
  <c r="I102" i="14"/>
  <c r="H87" i="14"/>
  <c r="J51" i="14"/>
  <c r="G111" i="14"/>
  <c r="L31" i="14"/>
  <c r="F72" i="13"/>
  <c r="D66" i="13"/>
  <c r="L63" i="13"/>
  <c r="J59" i="13"/>
  <c r="C53" i="13"/>
  <c r="I27" i="13"/>
  <c r="O85" i="13"/>
  <c r="E77" i="13"/>
  <c r="O73" i="13"/>
  <c r="H69" i="13"/>
  <c r="C66" i="13"/>
  <c r="D63" i="13"/>
  <c r="D46" i="13"/>
  <c r="F42" i="13"/>
  <c r="O40" i="13"/>
  <c r="C30" i="13"/>
  <c r="G110" i="13"/>
  <c r="G101" i="13"/>
  <c r="C82" i="13"/>
  <c r="O78" i="13"/>
  <c r="O67" i="13"/>
  <c r="O64" i="13"/>
  <c r="O60" i="13"/>
  <c r="O43" i="13"/>
  <c r="G40" i="13"/>
  <c r="C33" i="13"/>
  <c r="K111" i="13"/>
  <c r="D110" i="13"/>
  <c r="O102" i="13"/>
  <c r="O88" i="13"/>
  <c r="D67" i="13"/>
  <c r="L64" i="13"/>
  <c r="D55" i="13"/>
  <c r="O52" i="13"/>
  <c r="E47" i="13"/>
  <c r="O34" i="13"/>
  <c r="G109" i="13"/>
  <c r="G91" i="13"/>
  <c r="O87" i="13"/>
  <c r="O82" i="13"/>
  <c r="K77" i="13"/>
  <c r="K42" i="13"/>
  <c r="K110" i="13"/>
  <c r="O106" i="13"/>
  <c r="K101" i="13"/>
  <c r="H94" i="13"/>
  <c r="I87" i="13"/>
  <c r="J82" i="13"/>
  <c r="F75" i="13"/>
  <c r="J57" i="13"/>
  <c r="O51" i="13"/>
  <c r="F33" i="13"/>
  <c r="O31" i="13"/>
  <c r="O111" i="13"/>
  <c r="I106" i="13"/>
  <c r="O104" i="13"/>
  <c r="E97" i="13"/>
  <c r="O95" i="13"/>
  <c r="O92" i="13"/>
  <c r="D69" i="13"/>
  <c r="O49" i="13"/>
  <c r="O37" i="13"/>
  <c r="L31" i="13"/>
  <c r="L28" i="13"/>
  <c r="C103" i="13"/>
  <c r="L101" i="13"/>
  <c r="F84" i="13"/>
  <c r="O69" i="13"/>
  <c r="E46" i="13"/>
  <c r="E39" i="13"/>
  <c r="O33" i="13"/>
  <c r="I30" i="13"/>
  <c r="G94" i="13"/>
  <c r="H87" i="13"/>
  <c r="L85" i="13"/>
  <c r="J73" i="13"/>
  <c r="J55" i="13"/>
  <c r="J51" i="13"/>
  <c r="O47" i="13"/>
  <c r="E42" i="13"/>
  <c r="C39" i="13"/>
  <c r="C106" i="13"/>
  <c r="C104" i="13"/>
  <c r="F101" i="13"/>
  <c r="O99" i="13"/>
  <c r="G95" i="13"/>
  <c r="L92" i="13"/>
  <c r="O90" i="13"/>
  <c r="F85" i="13"/>
  <c r="I78" i="13"/>
  <c r="L60" i="13"/>
  <c r="J49" i="13"/>
  <c r="K37" i="13"/>
  <c r="I31" i="13"/>
  <c r="G28" i="13"/>
  <c r="K109" i="13"/>
  <c r="H105" i="13"/>
  <c r="J103" i="13"/>
  <c r="J100" i="13"/>
  <c r="H84" i="13"/>
  <c r="I72" i="13"/>
  <c r="H53" i="13"/>
  <c r="C50" i="13"/>
  <c r="D48" i="13"/>
  <c r="G36" i="13"/>
  <c r="K30" i="13"/>
  <c r="L27" i="13"/>
  <c r="O110" i="13"/>
  <c r="I100" i="13"/>
  <c r="L94" i="13"/>
  <c r="O75" i="13"/>
  <c r="O57" i="13"/>
  <c r="E36" i="13"/>
  <c r="E109" i="13"/>
  <c r="O97" i="13"/>
  <c r="D84" i="13"/>
  <c r="F59" i="13"/>
  <c r="O55" i="13"/>
  <c r="D39" i="13"/>
  <c r="O28" i="13"/>
  <c r="G73" i="13"/>
  <c r="O70" i="13"/>
  <c r="C51" i="13"/>
  <c r="K43" i="13"/>
  <c r="F40" i="13"/>
  <c r="O81" i="13"/>
  <c r="H56" i="13"/>
  <c r="E108" i="13"/>
  <c r="F74" i="13"/>
  <c r="G38" i="13"/>
  <c r="G90" i="13"/>
  <c r="L34" i="13"/>
  <c r="O74" i="13"/>
  <c r="O68" i="13"/>
  <c r="I99" i="13"/>
  <c r="H81" i="13"/>
  <c r="D40" i="13"/>
  <c r="F52" i="13"/>
  <c r="K79" i="13"/>
  <c r="E52" i="13"/>
  <c r="G99" i="13"/>
  <c r="L68" i="13"/>
  <c r="K32" i="13"/>
  <c r="O65" i="13"/>
  <c r="O39" i="13"/>
  <c r="D64" i="13"/>
  <c r="O76" i="13"/>
  <c r="O36" i="13"/>
  <c r="G43" i="13"/>
  <c r="I81" i="13"/>
  <c r="E111" i="13"/>
  <c r="J76" i="13"/>
  <c r="L45" i="13"/>
  <c r="K96" i="13"/>
  <c r="E65" i="13"/>
  <c r="C29" i="13"/>
  <c r="F79" i="13"/>
  <c r="G111" i="13"/>
  <c r="O105" i="13"/>
  <c r="J60" i="13"/>
  <c r="O109" i="13"/>
  <c r="O59" i="13"/>
  <c r="O72" i="13"/>
  <c r="O27" i="13"/>
  <c r="O30" i="13"/>
  <c r="K108" i="13"/>
  <c r="J74" i="13"/>
  <c r="D34" i="13"/>
  <c r="D119" i="13" s="1"/>
  <c r="D12" i="13" s="1"/>
  <c r="D14" i="13" s="1"/>
  <c r="D19" i="13" s="1"/>
  <c r="D21" i="13" s="1"/>
  <c r="K93" i="13"/>
  <c r="E61" i="13"/>
  <c r="E90" i="13"/>
  <c r="G68" i="13"/>
  <c r="O93" i="13"/>
  <c r="O101" i="13"/>
  <c r="O56" i="13"/>
  <c r="O100" i="13"/>
  <c r="O50" i="13"/>
  <c r="C67" i="13"/>
  <c r="H69" i="12"/>
  <c r="H86" i="12"/>
  <c r="F56" i="12"/>
  <c r="G91" i="12"/>
  <c r="F83" i="12"/>
  <c r="L45" i="12"/>
  <c r="O96" i="12"/>
  <c r="I102" i="12"/>
  <c r="O58" i="12"/>
  <c r="F81" i="12"/>
  <c r="E46" i="12"/>
  <c r="O110" i="12"/>
  <c r="C29" i="12"/>
  <c r="O75" i="12"/>
  <c r="K108" i="12"/>
  <c r="J57" i="12"/>
  <c r="I81" i="12"/>
  <c r="H56" i="12"/>
  <c r="O82" i="12"/>
  <c r="O83" i="12"/>
  <c r="I45" i="12"/>
  <c r="I88" i="12"/>
  <c r="O69" i="12"/>
  <c r="O51" i="12"/>
  <c r="H81" i="12"/>
  <c r="O40" i="12"/>
  <c r="I106" i="12"/>
  <c r="I29" i="12"/>
  <c r="G111" i="12"/>
  <c r="E95" i="12"/>
  <c r="C92" i="12"/>
  <c r="E78" i="12"/>
  <c r="C67" i="12"/>
  <c r="D64" i="12"/>
  <c r="J60" i="12"/>
  <c r="D47" i="12"/>
  <c r="G43" i="12"/>
  <c r="O72" i="12"/>
  <c r="O53" i="12"/>
  <c r="O48" i="12"/>
  <c r="O36" i="12"/>
  <c r="O30" i="12"/>
  <c r="O27" i="12"/>
  <c r="E111" i="12"/>
  <c r="O109" i="12"/>
  <c r="O105" i="12"/>
  <c r="O103" i="12"/>
  <c r="O100" i="12"/>
  <c r="G99" i="12"/>
  <c r="H90" i="12"/>
  <c r="O84" i="12"/>
  <c r="C52" i="12"/>
  <c r="O50" i="12"/>
  <c r="E109" i="12"/>
  <c r="K101" i="12"/>
  <c r="H94" i="12"/>
  <c r="D84" i="12"/>
  <c r="E77" i="12"/>
  <c r="C66" i="12"/>
  <c r="D63" i="12"/>
  <c r="F59" i="12"/>
  <c r="D46" i="12"/>
  <c r="F42" i="12"/>
  <c r="D39" i="12"/>
  <c r="C30" i="12"/>
  <c r="O111" i="12"/>
  <c r="G110" i="12"/>
  <c r="O104" i="12"/>
  <c r="G101" i="12"/>
  <c r="O95" i="12"/>
  <c r="O101" i="12"/>
  <c r="O90" i="12"/>
  <c r="H84" i="12"/>
  <c r="L60" i="12"/>
  <c r="H53" i="12"/>
  <c r="O46" i="12"/>
  <c r="F79" i="12"/>
  <c r="E42" i="12"/>
  <c r="I31" i="12"/>
  <c r="D55" i="12"/>
  <c r="O49" i="12"/>
  <c r="D110" i="12"/>
  <c r="F101" i="12"/>
  <c r="O92" i="12"/>
  <c r="G90" i="12"/>
  <c r="O63" i="12"/>
  <c r="D48" i="12"/>
  <c r="J103" i="12"/>
  <c r="O94" i="12"/>
  <c r="L92" i="12"/>
  <c r="O77" i="12"/>
  <c r="O70" i="12"/>
  <c r="D65" i="12"/>
  <c r="C50" i="12"/>
  <c r="O42" i="12"/>
  <c r="O34" i="12"/>
  <c r="L31" i="12"/>
  <c r="G94" i="12"/>
  <c r="J73" i="12"/>
  <c r="O67" i="12"/>
  <c r="O59" i="12"/>
  <c r="O52" i="12"/>
  <c r="D45" i="12"/>
  <c r="O37" i="12"/>
  <c r="K109" i="12"/>
  <c r="H105" i="12"/>
  <c r="J100" i="12"/>
  <c r="E96" i="12"/>
  <c r="O88" i="12"/>
  <c r="L85" i="12"/>
  <c r="G73" i="12"/>
  <c r="D67" i="12"/>
  <c r="C61" i="12"/>
  <c r="O47" i="12"/>
  <c r="O39" i="12"/>
  <c r="K37" i="12"/>
  <c r="G28" i="12"/>
  <c r="L28" i="12"/>
  <c r="J55" i="12"/>
  <c r="K111" i="12"/>
  <c r="O78" i="12"/>
  <c r="L64" i="12"/>
  <c r="J49" i="12"/>
  <c r="O43" i="12"/>
  <c r="K30" i="12"/>
  <c r="C104" i="12"/>
  <c r="O99" i="12"/>
  <c r="G95" i="12"/>
  <c r="H87" i="12"/>
  <c r="I78" i="12"/>
  <c r="I72" i="12"/>
  <c r="O66" i="12"/>
  <c r="O60" i="12"/>
  <c r="K43" i="12"/>
  <c r="G36" i="12"/>
  <c r="L27" i="12"/>
  <c r="O102" i="12"/>
  <c r="O91" i="12"/>
  <c r="F85" i="12"/>
  <c r="C82" i="12"/>
  <c r="D69" i="12"/>
  <c r="O64" i="12"/>
  <c r="E47" i="12"/>
  <c r="C39" i="12"/>
  <c r="C33" i="12"/>
  <c r="G41" i="12"/>
  <c r="O81" i="12"/>
  <c r="O38" i="12"/>
  <c r="F74" i="12"/>
  <c r="E93" i="12"/>
  <c r="H88" i="12"/>
  <c r="K110" i="12"/>
  <c r="E97" i="12"/>
  <c r="G68" i="12"/>
  <c r="G40" i="12"/>
  <c r="E36" i="12"/>
  <c r="O79" i="12"/>
  <c r="O28" i="12"/>
  <c r="J61" i="12"/>
  <c r="O41" i="12"/>
  <c r="O68" i="12"/>
  <c r="G38" i="12"/>
  <c r="J74" i="12"/>
  <c r="G70" i="12"/>
  <c r="I87" i="12"/>
  <c r="O97" i="12"/>
  <c r="K65" i="12"/>
  <c r="D38" i="12"/>
  <c r="D119" i="12" s="1"/>
  <c r="D12" i="12" s="1"/>
  <c r="D14" i="12" s="1"/>
  <c r="D19" i="12" s="1"/>
  <c r="D21" i="12" s="1"/>
  <c r="I27" i="12"/>
  <c r="O73" i="12"/>
  <c r="G109" i="12"/>
  <c r="O61" i="12"/>
  <c r="K93" i="12"/>
  <c r="L101" i="12"/>
  <c r="L68" i="12"/>
  <c r="O32" i="12"/>
  <c r="O74" i="12"/>
  <c r="O108" i="12"/>
  <c r="J51" i="12"/>
  <c r="E52" i="12"/>
  <c r="J82" i="12"/>
  <c r="L94" i="12"/>
  <c r="E65" i="12"/>
  <c r="L34" i="12"/>
  <c r="J59" i="12"/>
  <c r="I100" i="12"/>
  <c r="O55" i="12"/>
  <c r="O93" i="12"/>
  <c r="L90" i="12"/>
  <c r="O57" i="12"/>
  <c r="K32" i="12"/>
  <c r="L63" i="12"/>
  <c r="I99" i="12"/>
  <c r="H90" i="11"/>
  <c r="C52" i="11"/>
  <c r="G109" i="11"/>
  <c r="E36" i="11"/>
  <c r="O97" i="11"/>
  <c r="O41" i="11"/>
  <c r="O96" i="11"/>
  <c r="D40" i="11"/>
  <c r="D66" i="11"/>
  <c r="O61" i="11"/>
  <c r="I99" i="11"/>
  <c r="L34" i="11"/>
  <c r="D38" i="11"/>
  <c r="F83" i="11"/>
  <c r="H56" i="11"/>
  <c r="D45" i="11"/>
  <c r="H86" i="11"/>
  <c r="I45" i="11"/>
  <c r="C103" i="11"/>
  <c r="I30" i="11"/>
  <c r="O93" i="11"/>
  <c r="O30" i="11"/>
  <c r="O87" i="11"/>
  <c r="O29" i="11"/>
  <c r="O58" i="11"/>
  <c r="O53" i="11"/>
  <c r="L94" i="11"/>
  <c r="G111" i="11"/>
  <c r="E95" i="11"/>
  <c r="C92" i="11"/>
  <c r="E78" i="11"/>
  <c r="C67" i="11"/>
  <c r="C119" i="11" s="1"/>
  <c r="C12" i="11" s="1"/>
  <c r="C14" i="11" s="1"/>
  <c r="C19" i="11" s="1"/>
  <c r="C21" i="11" s="1"/>
  <c r="D64" i="11"/>
  <c r="J60" i="11"/>
  <c r="D47" i="11"/>
  <c r="G43" i="11"/>
  <c r="K109" i="11"/>
  <c r="O46" i="11"/>
  <c r="G101" i="11"/>
  <c r="O92" i="11"/>
  <c r="H87" i="11"/>
  <c r="L85" i="11"/>
  <c r="C82" i="11"/>
  <c r="O67" i="11"/>
  <c r="O64" i="11"/>
  <c r="O60" i="11"/>
  <c r="E42" i="11"/>
  <c r="E111" i="11"/>
  <c r="H105" i="11"/>
  <c r="J103" i="11"/>
  <c r="O101" i="11"/>
  <c r="J100" i="11"/>
  <c r="O94" i="11"/>
  <c r="O91" i="11"/>
  <c r="H84" i="11"/>
  <c r="O63" i="11"/>
  <c r="L27" i="11"/>
  <c r="O111" i="11"/>
  <c r="I106" i="11"/>
  <c r="O104" i="11"/>
  <c r="E97" i="11"/>
  <c r="O95" i="11"/>
  <c r="G94" i="11"/>
  <c r="J55" i="11"/>
  <c r="J51" i="11"/>
  <c r="O47" i="11"/>
  <c r="O43" i="11"/>
  <c r="G40" i="11"/>
  <c r="O37" i="11"/>
  <c r="C33" i="11"/>
  <c r="D110" i="11"/>
  <c r="C106" i="11"/>
  <c r="C104" i="11"/>
  <c r="O102" i="11"/>
  <c r="O99" i="11"/>
  <c r="F85" i="11"/>
  <c r="G90" i="11"/>
  <c r="O77" i="11"/>
  <c r="I72" i="11"/>
  <c r="O66" i="11"/>
  <c r="O59" i="11"/>
  <c r="H53" i="11"/>
  <c r="C50" i="11"/>
  <c r="D48" i="11"/>
  <c r="O42" i="11"/>
  <c r="O39" i="11"/>
  <c r="G36" i="11"/>
  <c r="K30" i="11"/>
  <c r="K119" i="11" s="1"/>
  <c r="K12" i="11" s="1"/>
  <c r="K14" i="11" s="1"/>
  <c r="K19" i="11" s="1"/>
  <c r="K21" i="11" s="1"/>
  <c r="G110" i="11"/>
  <c r="L28" i="11"/>
  <c r="F101" i="11"/>
  <c r="G95" i="11"/>
  <c r="L92" i="11"/>
  <c r="O88" i="11"/>
  <c r="K110" i="11"/>
  <c r="E109" i="11"/>
  <c r="K101" i="11"/>
  <c r="H94" i="11"/>
  <c r="I87" i="11"/>
  <c r="D84" i="11"/>
  <c r="J82" i="11"/>
  <c r="E77" i="11"/>
  <c r="F75" i="11"/>
  <c r="H69" i="11"/>
  <c r="C66" i="11"/>
  <c r="D63" i="11"/>
  <c r="F59" i="11"/>
  <c r="J57" i="11"/>
  <c r="D46" i="11"/>
  <c r="F42" i="11"/>
  <c r="D39" i="11"/>
  <c r="F33" i="11"/>
  <c r="C30" i="11"/>
  <c r="O78" i="11"/>
  <c r="J73" i="11"/>
  <c r="D69" i="11"/>
  <c r="O49" i="11"/>
  <c r="C39" i="11"/>
  <c r="L31" i="11"/>
  <c r="K111" i="11"/>
  <c r="O90" i="11"/>
  <c r="O34" i="11"/>
  <c r="D67" i="11"/>
  <c r="K37" i="11"/>
  <c r="L60" i="11"/>
  <c r="O52" i="11"/>
  <c r="J49" i="11"/>
  <c r="L64" i="11"/>
  <c r="I78" i="11"/>
  <c r="O70" i="11"/>
  <c r="D55" i="11"/>
  <c r="C51" i="11"/>
  <c r="F40" i="11"/>
  <c r="K43" i="11"/>
  <c r="E47" i="11"/>
  <c r="G28" i="11"/>
  <c r="G73" i="11"/>
  <c r="I31" i="11"/>
  <c r="O84" i="11"/>
  <c r="O45" i="11"/>
  <c r="H70" i="11"/>
  <c r="O109" i="11"/>
  <c r="O28" i="11"/>
  <c r="E39" i="11"/>
  <c r="O85" i="11"/>
  <c r="G68" i="11"/>
  <c r="O27" i="11"/>
  <c r="J74" i="11"/>
  <c r="D34" i="11"/>
  <c r="E108" i="11"/>
  <c r="F74" i="11"/>
  <c r="I81" i="11"/>
  <c r="F84" i="11"/>
  <c r="F81" i="11"/>
  <c r="O79" i="11"/>
  <c r="O74" i="11"/>
  <c r="O33" i="11"/>
  <c r="J59" i="11"/>
  <c r="O100" i="11"/>
  <c r="O31" i="11"/>
  <c r="O81" i="11"/>
  <c r="L68" i="11"/>
  <c r="K108" i="11"/>
  <c r="G70" i="11"/>
  <c r="I29" i="11"/>
  <c r="I119" i="11" s="1"/>
  <c r="I12" i="11" s="1"/>
  <c r="I14" i="11" s="1"/>
  <c r="I19" i="11" s="1"/>
  <c r="I21" i="11" s="1"/>
  <c r="G99" i="11"/>
  <c r="E65" i="11"/>
  <c r="F79" i="11"/>
  <c r="H81" i="11"/>
  <c r="O40" i="11"/>
  <c r="O72" i="11"/>
  <c r="L63" i="11"/>
  <c r="O110" i="11"/>
  <c r="O55" i="11"/>
  <c r="G91" i="11"/>
  <c r="K77" i="11"/>
  <c r="O65" i="11"/>
  <c r="O68" i="11"/>
  <c r="I102" i="10"/>
  <c r="I99" i="10"/>
  <c r="L90" i="10"/>
  <c r="I88" i="10"/>
  <c r="H70" i="10"/>
  <c r="F52" i="10"/>
  <c r="L34" i="10"/>
  <c r="D65" i="10"/>
  <c r="C61" i="10"/>
  <c r="D48" i="10"/>
  <c r="O42" i="10"/>
  <c r="G36" i="10"/>
  <c r="K30" i="10"/>
  <c r="H99" i="10"/>
  <c r="J90" i="10"/>
  <c r="H88" i="10"/>
  <c r="G70" i="10"/>
  <c r="E52" i="10"/>
  <c r="D34" i="10"/>
  <c r="K109" i="10"/>
  <c r="H105" i="10"/>
  <c r="J103" i="10"/>
  <c r="O101" i="10"/>
  <c r="J100" i="10"/>
  <c r="O94" i="10"/>
  <c r="O91" i="10"/>
  <c r="G90" i="10"/>
  <c r="F79" i="10"/>
  <c r="O66" i="10"/>
  <c r="O63" i="10"/>
  <c r="C50" i="10"/>
  <c r="D45" i="10"/>
  <c r="O110" i="10"/>
  <c r="C103" i="10"/>
  <c r="L94" i="10"/>
  <c r="G91" i="10"/>
  <c r="E90" i="10"/>
  <c r="K77" i="10"/>
  <c r="O75" i="10"/>
  <c r="F72" i="10"/>
  <c r="O69" i="10"/>
  <c r="L63" i="10"/>
  <c r="E46" i="10"/>
  <c r="K42" i="10"/>
  <c r="E36" i="10"/>
  <c r="O33" i="10"/>
  <c r="I30" i="10"/>
  <c r="G99" i="10"/>
  <c r="H90" i="10"/>
  <c r="C52" i="10"/>
  <c r="H84" i="10"/>
  <c r="O77" i="10"/>
  <c r="I72" i="10"/>
  <c r="O59" i="10"/>
  <c r="H53" i="10"/>
  <c r="O46" i="10"/>
  <c r="O39" i="10"/>
  <c r="L27" i="10"/>
  <c r="G109" i="10"/>
  <c r="L101" i="10"/>
  <c r="I100" i="10"/>
  <c r="O87" i="10"/>
  <c r="F84" i="10"/>
  <c r="O82" i="10"/>
  <c r="D66" i="10"/>
  <c r="J59" i="10"/>
  <c r="O57" i="10"/>
  <c r="C53" i="10"/>
  <c r="E39" i="10"/>
  <c r="I27" i="10"/>
  <c r="G110" i="10"/>
  <c r="G101" i="10"/>
  <c r="G94" i="10"/>
  <c r="H87" i="10"/>
  <c r="C82" i="10"/>
  <c r="D69" i="10"/>
  <c r="E42" i="10"/>
  <c r="C39" i="10"/>
  <c r="C33" i="10"/>
  <c r="K111" i="10"/>
  <c r="D110" i="10"/>
  <c r="C106" i="10"/>
  <c r="C104" i="10"/>
  <c r="O102" i="10"/>
  <c r="O99" i="10"/>
  <c r="L64" i="10"/>
  <c r="D67" i="10"/>
  <c r="K37" i="10"/>
  <c r="F101" i="10"/>
  <c r="O90" i="10"/>
  <c r="K43" i="10"/>
  <c r="E47" i="10"/>
  <c r="G28" i="10"/>
  <c r="I78" i="10"/>
  <c r="O70" i="10"/>
  <c r="D55" i="10"/>
  <c r="C51" i="10"/>
  <c r="F40" i="10"/>
  <c r="F85" i="10"/>
  <c r="G73" i="10"/>
  <c r="I31" i="10"/>
  <c r="L92" i="10"/>
  <c r="O88" i="10"/>
  <c r="O34" i="10"/>
  <c r="G95" i="10"/>
  <c r="L60" i="10"/>
  <c r="O52" i="10"/>
  <c r="J49" i="10"/>
  <c r="I81" i="10"/>
  <c r="J82" i="10"/>
  <c r="O103" i="10"/>
  <c r="D46" i="10"/>
  <c r="O72" i="10"/>
  <c r="O106" i="10"/>
  <c r="K108" i="10"/>
  <c r="H56" i="10"/>
  <c r="E65" i="10"/>
  <c r="C30" i="10"/>
  <c r="J73" i="10"/>
  <c r="G40" i="10"/>
  <c r="O51" i="10"/>
  <c r="H86" i="10"/>
  <c r="O73" i="10"/>
  <c r="O65" i="10"/>
  <c r="C66" i="10"/>
  <c r="E95" i="10"/>
  <c r="G38" i="10"/>
  <c r="D64" i="10"/>
  <c r="I87" i="10"/>
  <c r="F83" i="10"/>
  <c r="L45" i="10"/>
  <c r="E61" i="10"/>
  <c r="O111" i="10"/>
  <c r="O67" i="10"/>
  <c r="L31" i="10"/>
  <c r="O48" i="10"/>
  <c r="O86" i="10"/>
  <c r="O109" i="10"/>
  <c r="H69" i="10"/>
  <c r="O100" i="10"/>
  <c r="J57" i="10"/>
  <c r="O58" i="10"/>
  <c r="O76" i="10"/>
  <c r="O38" i="10"/>
  <c r="O56" i="10"/>
  <c r="F75" i="10"/>
  <c r="O97" i="10"/>
  <c r="D38" i="10"/>
  <c r="J74" i="10"/>
  <c r="K110" i="10"/>
  <c r="O30" i="10"/>
  <c r="E111" i="10"/>
  <c r="H58" i="10"/>
  <c r="F74" i="10"/>
  <c r="O40" i="10"/>
  <c r="O78" i="10"/>
  <c r="O43" i="10"/>
  <c r="O55" i="10"/>
  <c r="E77" i="10"/>
  <c r="I29" i="10"/>
  <c r="F56" i="10"/>
  <c r="O64" i="10"/>
  <c r="L28" i="10"/>
  <c r="D40" i="10"/>
  <c r="O74" i="10"/>
  <c r="O104" i="10"/>
  <c r="O61" i="10"/>
  <c r="C92" i="10"/>
  <c r="F42" i="10"/>
  <c r="D47" i="10"/>
  <c r="L68" i="10"/>
  <c r="G41" i="10"/>
  <c r="J76" i="10"/>
  <c r="I45" i="10"/>
  <c r="E97" i="10"/>
  <c r="O60" i="10"/>
  <c r="H94" i="10"/>
  <c r="O29" i="10"/>
  <c r="D63" i="10"/>
  <c r="K96" i="10"/>
  <c r="O53" i="10"/>
  <c r="F81" i="10"/>
  <c r="O36" i="10"/>
  <c r="G68" i="10"/>
  <c r="O27" i="10"/>
  <c r="O41" i="10"/>
  <c r="O45" i="10"/>
  <c r="C29" i="10"/>
  <c r="O95" i="10"/>
  <c r="J55" i="10"/>
  <c r="O83" i="10"/>
  <c r="G43" i="10"/>
  <c r="E96" i="10"/>
  <c r="O50" i="10"/>
  <c r="L81" i="10"/>
  <c r="K93" i="10"/>
  <c r="O28" i="10"/>
  <c r="O68" i="10"/>
  <c r="O37" i="10"/>
  <c r="K65" i="10"/>
  <c r="E108" i="10"/>
  <c r="E109" i="10"/>
  <c r="O92" i="10"/>
  <c r="J51" i="10"/>
  <c r="E78" i="10"/>
  <c r="O105" i="10"/>
  <c r="K32" i="10"/>
  <c r="O96" i="10"/>
  <c r="D39" i="10"/>
  <c r="H81" i="10"/>
  <c r="E93" i="10"/>
  <c r="J60" i="10"/>
  <c r="O84" i="10"/>
  <c r="F33" i="10"/>
  <c r="K79" i="10"/>
  <c r="I106" i="10"/>
  <c r="C67" i="10"/>
  <c r="J61" i="10"/>
  <c r="G79" i="10"/>
  <c r="D84" i="10"/>
  <c r="L85" i="10"/>
  <c r="O47" i="10"/>
  <c r="F59" i="10"/>
  <c r="K101" i="10"/>
  <c r="O32" i="10"/>
  <c r="O85" i="10"/>
  <c r="O31" i="10"/>
  <c r="O81" i="10"/>
  <c r="O93" i="10"/>
  <c r="O108" i="10"/>
  <c r="O49" i="10"/>
  <c r="O79" i="10"/>
  <c r="G111" i="10"/>
  <c r="O38" i="9"/>
  <c r="O86" i="9"/>
  <c r="G38" i="9"/>
  <c r="O65" i="9"/>
  <c r="H90" i="9"/>
  <c r="G41" i="9"/>
  <c r="O34" i="9"/>
  <c r="O45" i="9"/>
  <c r="E96" i="9"/>
  <c r="O32" i="9"/>
  <c r="D65" i="9"/>
  <c r="O90" i="9"/>
  <c r="O68" i="9"/>
  <c r="K96" i="9"/>
  <c r="D38" i="9"/>
  <c r="D119" i="9" s="1"/>
  <c r="D12" i="9" s="1"/>
  <c r="D14" i="9" s="1"/>
  <c r="D19" i="9" s="1"/>
  <c r="D21" i="9" s="1"/>
  <c r="K65" i="9"/>
  <c r="G90" i="9"/>
  <c r="G99" i="9"/>
  <c r="H86" i="9"/>
  <c r="H88" i="9"/>
  <c r="F56" i="9"/>
  <c r="G111" i="9"/>
  <c r="O96" i="9"/>
  <c r="D40" i="9"/>
  <c r="E65" i="9"/>
  <c r="C67" i="9"/>
  <c r="E90" i="9"/>
  <c r="E111" i="9"/>
  <c r="H99" i="9"/>
  <c r="I88" i="9"/>
  <c r="H56" i="9"/>
  <c r="I102" i="9"/>
  <c r="J76" i="9"/>
  <c r="E108" i="9"/>
  <c r="C61" i="9"/>
  <c r="O99" i="9"/>
  <c r="I99" i="9"/>
  <c r="H81" i="9"/>
  <c r="J74" i="9"/>
  <c r="O56" i="9"/>
  <c r="F79" i="9"/>
  <c r="O76" i="9"/>
  <c r="K108" i="9"/>
  <c r="F83" i="9"/>
  <c r="E52" i="9"/>
  <c r="E61" i="9"/>
  <c r="J90" i="9"/>
  <c r="C92" i="9"/>
  <c r="L68" i="9"/>
  <c r="O93" i="9"/>
  <c r="O41" i="9"/>
  <c r="K32" i="9"/>
  <c r="I29" i="9"/>
  <c r="I81" i="9"/>
  <c r="F74" i="9"/>
  <c r="D45" i="9"/>
  <c r="G79" i="9"/>
  <c r="H58" i="9"/>
  <c r="O108" i="9"/>
  <c r="E95" i="9"/>
  <c r="O83" i="9"/>
  <c r="C52" i="9"/>
  <c r="J61" i="9"/>
  <c r="L90" i="9"/>
  <c r="C29" i="9"/>
  <c r="L81" i="9"/>
  <c r="O74" i="9"/>
  <c r="L45" i="9"/>
  <c r="K79" i="9"/>
  <c r="O58" i="9"/>
  <c r="E78" i="9"/>
  <c r="E93" i="9"/>
  <c r="G70" i="9"/>
  <c r="F52" i="9"/>
  <c r="O61" i="9"/>
  <c r="O100" i="9"/>
  <c r="O48" i="9"/>
  <c r="O36" i="9"/>
  <c r="I27" i="9"/>
  <c r="E109" i="9"/>
  <c r="O106" i="9"/>
  <c r="O109" i="9"/>
  <c r="O105" i="9"/>
  <c r="O103" i="9"/>
  <c r="O84" i="9"/>
  <c r="O72" i="9"/>
  <c r="O53" i="9"/>
  <c r="O50" i="9"/>
  <c r="O30" i="9"/>
  <c r="O27" i="9"/>
  <c r="G109" i="9"/>
  <c r="C103" i="9"/>
  <c r="L101" i="9"/>
  <c r="L94" i="9"/>
  <c r="G91" i="9"/>
  <c r="O87" i="9"/>
  <c r="F72" i="9"/>
  <c r="O69" i="9"/>
  <c r="L63" i="9"/>
  <c r="E46" i="9"/>
  <c r="K42" i="9"/>
  <c r="I30" i="9"/>
  <c r="K110" i="9"/>
  <c r="K109" i="9"/>
  <c r="H105" i="9"/>
  <c r="J103" i="9"/>
  <c r="O101" i="9"/>
  <c r="J100" i="9"/>
  <c r="O94" i="9"/>
  <c r="O91" i="9"/>
  <c r="H84" i="9"/>
  <c r="O77" i="9"/>
  <c r="I72" i="9"/>
  <c r="O66" i="9"/>
  <c r="O63" i="9"/>
  <c r="O59" i="9"/>
  <c r="H53" i="9"/>
  <c r="C50" i="9"/>
  <c r="D48" i="9"/>
  <c r="O46" i="9"/>
  <c r="O42" i="9"/>
  <c r="O39" i="9"/>
  <c r="G36" i="9"/>
  <c r="K30" i="9"/>
  <c r="L27" i="9"/>
  <c r="O110" i="9"/>
  <c r="I100" i="9"/>
  <c r="F84" i="9"/>
  <c r="O82" i="9"/>
  <c r="K77" i="9"/>
  <c r="O75" i="9"/>
  <c r="D66" i="9"/>
  <c r="J59" i="9"/>
  <c r="O57" i="9"/>
  <c r="C53" i="9"/>
  <c r="E39" i="9"/>
  <c r="E36" i="9"/>
  <c r="O33" i="9"/>
  <c r="O104" i="9"/>
  <c r="H87" i="9"/>
  <c r="C82" i="9"/>
  <c r="O78" i="9"/>
  <c r="G73" i="9"/>
  <c r="H69" i="9"/>
  <c r="L64" i="9"/>
  <c r="O60" i="9"/>
  <c r="D55" i="9"/>
  <c r="O51" i="9"/>
  <c r="J49" i="9"/>
  <c r="O40" i="9"/>
  <c r="I106" i="9"/>
  <c r="E97" i="9"/>
  <c r="C39" i="9"/>
  <c r="C104" i="9"/>
  <c r="K101" i="9"/>
  <c r="O95" i="9"/>
  <c r="I78" i="9"/>
  <c r="F75" i="9"/>
  <c r="D69" i="9"/>
  <c r="L60" i="9"/>
  <c r="J57" i="9"/>
  <c r="J51" i="9"/>
  <c r="D46" i="9"/>
  <c r="G40" i="9"/>
  <c r="G110" i="9"/>
  <c r="G101" i="9"/>
  <c r="G95" i="9"/>
  <c r="D84" i="9"/>
  <c r="C66" i="9"/>
  <c r="C51" i="9"/>
  <c r="F42" i="9"/>
  <c r="F40" i="9"/>
  <c r="O31" i="9"/>
  <c r="L92" i="9"/>
  <c r="O88" i="9"/>
  <c r="E77" i="9"/>
  <c r="F59" i="9"/>
  <c r="K37" i="9"/>
  <c r="I31" i="9"/>
  <c r="O28" i="9"/>
  <c r="O85" i="9"/>
  <c r="O47" i="9"/>
  <c r="D39" i="9"/>
  <c r="L28" i="9"/>
  <c r="O111" i="9"/>
  <c r="G94" i="9"/>
  <c r="L85" i="9"/>
  <c r="O73" i="9"/>
  <c r="O67" i="9"/>
  <c r="O55" i="9"/>
  <c r="E47" i="9"/>
  <c r="O43" i="9"/>
  <c r="O102" i="9"/>
  <c r="G28" i="9"/>
  <c r="I87" i="9"/>
  <c r="J82" i="9"/>
  <c r="J73" i="9"/>
  <c r="D67" i="9"/>
  <c r="O64" i="9"/>
  <c r="J55" i="9"/>
  <c r="O49" i="9"/>
  <c r="C30" i="9"/>
  <c r="D110" i="9"/>
  <c r="C106" i="9"/>
  <c r="F101" i="9"/>
  <c r="O97" i="9"/>
  <c r="O92" i="9"/>
  <c r="F81" i="9"/>
  <c r="D63" i="9"/>
  <c r="E42" i="9"/>
  <c r="O37" i="9"/>
  <c r="L31" i="9"/>
  <c r="F33" i="9"/>
  <c r="H94" i="9"/>
  <c r="O70" i="9"/>
  <c r="O52" i="9"/>
  <c r="C33" i="9"/>
  <c r="K111" i="9"/>
  <c r="F85" i="9"/>
  <c r="K43" i="9"/>
  <c r="D64" i="9"/>
  <c r="C29" i="8"/>
  <c r="G109" i="8"/>
  <c r="E36" i="8"/>
  <c r="O97" i="8"/>
  <c r="O61" i="8"/>
  <c r="D40" i="8"/>
  <c r="O36" i="8"/>
  <c r="K77" i="8"/>
  <c r="O32" i="8"/>
  <c r="O85" i="8"/>
  <c r="J90" i="8"/>
  <c r="J61" i="8"/>
  <c r="K93" i="8"/>
  <c r="E61" i="8"/>
  <c r="E96" i="8"/>
  <c r="C103" i="8"/>
  <c r="I30" i="8"/>
  <c r="O93" i="8"/>
  <c r="O57" i="8"/>
  <c r="O83" i="8"/>
  <c r="O33" i="8"/>
  <c r="O27" i="8"/>
  <c r="O73" i="8"/>
  <c r="O28" i="8"/>
  <c r="O76" i="8"/>
  <c r="H88" i="8"/>
  <c r="H58" i="8"/>
  <c r="I81" i="8"/>
  <c r="H90" i="8"/>
  <c r="F56" i="8"/>
  <c r="E93" i="8"/>
  <c r="I100" i="8"/>
  <c r="I27" i="8"/>
  <c r="I88" i="8"/>
  <c r="F52" i="8"/>
  <c r="O72" i="8"/>
  <c r="O74" i="8"/>
  <c r="O29" i="8"/>
  <c r="O68" i="8"/>
  <c r="G111" i="8"/>
  <c r="E95" i="8"/>
  <c r="C92" i="8"/>
  <c r="E78" i="8"/>
  <c r="C67" i="8"/>
  <c r="D64" i="8"/>
  <c r="J60" i="8"/>
  <c r="D47" i="8"/>
  <c r="G43" i="8"/>
  <c r="L27" i="8"/>
  <c r="G110" i="8"/>
  <c r="I106" i="8"/>
  <c r="O104" i="8"/>
  <c r="E97" i="8"/>
  <c r="O95" i="8"/>
  <c r="O92" i="8"/>
  <c r="H87" i="8"/>
  <c r="O78" i="8"/>
  <c r="O64" i="8"/>
  <c r="O60" i="8"/>
  <c r="J51" i="8"/>
  <c r="O47" i="8"/>
  <c r="O37" i="8"/>
  <c r="L31" i="8"/>
  <c r="L28" i="8"/>
  <c r="K111" i="8"/>
  <c r="G95" i="8"/>
  <c r="G73" i="8"/>
  <c r="O70" i="8"/>
  <c r="D55" i="8"/>
  <c r="C51" i="8"/>
  <c r="E47" i="8"/>
  <c r="K43" i="8"/>
  <c r="O34" i="8"/>
  <c r="I31" i="8"/>
  <c r="G28" i="8"/>
  <c r="E111" i="8"/>
  <c r="H105" i="8"/>
  <c r="O101" i="8"/>
  <c r="O91" i="8"/>
  <c r="H84" i="8"/>
  <c r="O77" i="8"/>
  <c r="I72" i="8"/>
  <c r="O66" i="8"/>
  <c r="O63" i="8"/>
  <c r="O46" i="8"/>
  <c r="K30" i="8"/>
  <c r="C106" i="8"/>
  <c r="C104" i="8"/>
  <c r="F101" i="8"/>
  <c r="L92" i="8"/>
  <c r="O88" i="8"/>
  <c r="F85" i="8"/>
  <c r="I78" i="8"/>
  <c r="D67" i="8"/>
  <c r="L64" i="8"/>
  <c r="L60" i="8"/>
  <c r="O52" i="8"/>
  <c r="K37" i="8"/>
  <c r="K109" i="8"/>
  <c r="J103" i="8"/>
  <c r="J100" i="8"/>
  <c r="O94" i="8"/>
  <c r="G90" i="8"/>
  <c r="O59" i="8"/>
  <c r="H53" i="8"/>
  <c r="C50" i="8"/>
  <c r="D48" i="8"/>
  <c r="O42" i="8"/>
  <c r="O39" i="8"/>
  <c r="G36" i="8"/>
  <c r="G101" i="8"/>
  <c r="G94" i="8"/>
  <c r="L85" i="8"/>
  <c r="C82" i="8"/>
  <c r="D69" i="8"/>
  <c r="O67" i="8"/>
  <c r="E42" i="8"/>
  <c r="D110" i="8"/>
  <c r="O102" i="8"/>
  <c r="O99" i="8"/>
  <c r="O90" i="8"/>
  <c r="J49" i="8"/>
  <c r="F40" i="8"/>
  <c r="K110" i="8"/>
  <c r="E109" i="8"/>
  <c r="K101" i="8"/>
  <c r="H94" i="8"/>
  <c r="I87" i="8"/>
  <c r="D84" i="8"/>
  <c r="J82" i="8"/>
  <c r="E77" i="8"/>
  <c r="F75" i="8"/>
  <c r="H69" i="8"/>
  <c r="C66" i="8"/>
  <c r="D63" i="8"/>
  <c r="F59" i="8"/>
  <c r="J57" i="8"/>
  <c r="D46" i="8"/>
  <c r="F42" i="8"/>
  <c r="D39" i="8"/>
  <c r="F33" i="8"/>
  <c r="C30" i="8"/>
  <c r="O111" i="8"/>
  <c r="J73" i="8"/>
  <c r="J55" i="8"/>
  <c r="O49" i="8"/>
  <c r="O43" i="8"/>
  <c r="G40" i="8"/>
  <c r="C39" i="8"/>
  <c r="C33" i="8"/>
  <c r="O84" i="8"/>
  <c r="O48" i="8"/>
  <c r="O69" i="8"/>
  <c r="O109" i="8"/>
  <c r="J59" i="8"/>
  <c r="K79" i="8"/>
  <c r="E52" i="8"/>
  <c r="L81" i="8"/>
  <c r="I45" i="8"/>
  <c r="D65" i="8"/>
  <c r="F84" i="8"/>
  <c r="F81" i="8"/>
  <c r="O79" i="8"/>
  <c r="E39" i="8"/>
  <c r="O110" i="8"/>
  <c r="O65" i="8"/>
  <c r="O103" i="8"/>
  <c r="O100" i="8"/>
  <c r="O55" i="8"/>
  <c r="O45" i="8"/>
  <c r="F83" i="8"/>
  <c r="F79" i="8"/>
  <c r="G68" i="8"/>
  <c r="O58" i="8"/>
  <c r="J76" i="8"/>
  <c r="L45" i="8"/>
  <c r="G79" i="8"/>
  <c r="G41" i="8"/>
  <c r="C61" i="8"/>
  <c r="H81" i="8"/>
  <c r="O40" i="8"/>
  <c r="O75" i="8"/>
  <c r="L34" i="8"/>
  <c r="O105" i="8"/>
  <c r="O56" i="8"/>
  <c r="L90" i="8"/>
  <c r="G91" i="8"/>
  <c r="O50" i="8"/>
  <c r="O108" i="8"/>
  <c r="O31" i="8"/>
  <c r="H56" i="8"/>
  <c r="H86" i="8"/>
  <c r="C52" i="8"/>
  <c r="E90" i="8"/>
  <c r="J74" i="8"/>
  <c r="D34" i="8"/>
  <c r="E108" i="8"/>
  <c r="F74" i="8"/>
  <c r="G38" i="8"/>
  <c r="D45" i="8"/>
  <c r="F72" i="8"/>
  <c r="O106" i="8"/>
  <c r="H70" i="8"/>
  <c r="O30" i="8"/>
  <c r="L101" i="8"/>
  <c r="O51" i="8"/>
  <c r="O81" i="8"/>
  <c r="O86" i="8"/>
  <c r="E46" i="8"/>
  <c r="I99" i="8"/>
  <c r="L45" i="7"/>
  <c r="E65" i="7"/>
  <c r="D40" i="7"/>
  <c r="L90" i="7"/>
  <c r="E52" i="7"/>
  <c r="G43" i="7"/>
  <c r="H105" i="7"/>
  <c r="O101" i="7"/>
  <c r="O94" i="7"/>
  <c r="O91" i="7"/>
  <c r="O63" i="7"/>
  <c r="H53" i="7"/>
  <c r="C50" i="7"/>
  <c r="O46" i="7"/>
  <c r="O39" i="7"/>
  <c r="G36" i="7"/>
  <c r="K30" i="7"/>
  <c r="O106" i="7"/>
  <c r="K101" i="7"/>
  <c r="H94" i="7"/>
  <c r="O85" i="7"/>
  <c r="J82" i="7"/>
  <c r="H69" i="7"/>
  <c r="D63" i="7"/>
  <c r="K109" i="7"/>
  <c r="J103" i="7"/>
  <c r="J100" i="7"/>
  <c r="O77" i="7"/>
  <c r="I72" i="7"/>
  <c r="O59" i="7"/>
  <c r="C103" i="7"/>
  <c r="I100" i="7"/>
  <c r="O87" i="7"/>
  <c r="F84" i="7"/>
  <c r="O82" i="7"/>
  <c r="K77" i="7"/>
  <c r="O75" i="7"/>
  <c r="F72" i="7"/>
  <c r="O69" i="7"/>
  <c r="L63" i="7"/>
  <c r="E46" i="7"/>
  <c r="E39" i="7"/>
  <c r="I27" i="7"/>
  <c r="K110" i="7"/>
  <c r="E109" i="7"/>
  <c r="O97" i="7"/>
  <c r="I87" i="7"/>
  <c r="D84" i="7"/>
  <c r="E77" i="7"/>
  <c r="F75" i="7"/>
  <c r="O73" i="7"/>
  <c r="C66" i="7"/>
  <c r="F59" i="7"/>
  <c r="H84" i="7"/>
  <c r="O66" i="7"/>
  <c r="D48" i="7"/>
  <c r="O42" i="7"/>
  <c r="L27" i="7"/>
  <c r="O110" i="7"/>
  <c r="G109" i="7"/>
  <c r="L101" i="7"/>
  <c r="L94" i="7"/>
  <c r="G91" i="7"/>
  <c r="D66" i="7"/>
  <c r="J59" i="7"/>
  <c r="O57" i="7"/>
  <c r="C53" i="7"/>
  <c r="K42" i="7"/>
  <c r="E36" i="7"/>
  <c r="O33" i="7"/>
  <c r="I30" i="7"/>
  <c r="O104" i="7"/>
  <c r="G95" i="7"/>
  <c r="O92" i="7"/>
  <c r="O78" i="7"/>
  <c r="J55" i="7"/>
  <c r="O49" i="7"/>
  <c r="K43" i="7"/>
  <c r="C30" i="7"/>
  <c r="O40" i="7"/>
  <c r="G73" i="7"/>
  <c r="F33" i="7"/>
  <c r="C104" i="7"/>
  <c r="G101" i="7"/>
  <c r="L92" i="7"/>
  <c r="O88" i="7"/>
  <c r="L85" i="7"/>
  <c r="C82" i="7"/>
  <c r="I78" i="7"/>
  <c r="D55" i="7"/>
  <c r="D119" i="7" s="1"/>
  <c r="D12" i="7" s="1"/>
  <c r="D14" i="7" s="1"/>
  <c r="D19" i="7" s="1"/>
  <c r="D21" i="7" s="1"/>
  <c r="O51" i="7"/>
  <c r="J49" i="7"/>
  <c r="I31" i="7"/>
  <c r="L28" i="7"/>
  <c r="K111" i="7"/>
  <c r="O95" i="7"/>
  <c r="C39" i="7"/>
  <c r="G110" i="7"/>
  <c r="I106" i="7"/>
  <c r="F101" i="7"/>
  <c r="E97" i="7"/>
  <c r="F85" i="7"/>
  <c r="O70" i="7"/>
  <c r="O67" i="7"/>
  <c r="O64" i="7"/>
  <c r="O60" i="7"/>
  <c r="J57" i="7"/>
  <c r="J51" i="7"/>
  <c r="D46" i="7"/>
  <c r="G40" i="7"/>
  <c r="O34" i="7"/>
  <c r="D110" i="7"/>
  <c r="C106" i="7"/>
  <c r="G94" i="7"/>
  <c r="D67" i="7"/>
  <c r="L64" i="7"/>
  <c r="L60" i="7"/>
  <c r="C51" i="7"/>
  <c r="F42" i="7"/>
  <c r="F40" i="7"/>
  <c r="O31" i="7"/>
  <c r="K37" i="7"/>
  <c r="O99" i="7"/>
  <c r="O55" i="7"/>
  <c r="E47" i="7"/>
  <c r="O43" i="7"/>
  <c r="G28" i="7"/>
  <c r="H87" i="7"/>
  <c r="J73" i="7"/>
  <c r="E42" i="7"/>
  <c r="O37" i="7"/>
  <c r="L31" i="7"/>
  <c r="D69" i="7"/>
  <c r="O28" i="7"/>
  <c r="O111" i="7"/>
  <c r="O102" i="7"/>
  <c r="O90" i="7"/>
  <c r="O52" i="7"/>
  <c r="O47" i="7"/>
  <c r="D39" i="7"/>
  <c r="C33" i="7"/>
  <c r="K108" i="7"/>
  <c r="O61" i="7"/>
  <c r="H90" i="7"/>
  <c r="J60" i="7"/>
  <c r="I99" i="7"/>
  <c r="C29" i="7"/>
  <c r="O32" i="7"/>
  <c r="O48" i="7"/>
  <c r="H56" i="7"/>
  <c r="O58" i="7"/>
  <c r="K93" i="7"/>
  <c r="J76" i="7"/>
  <c r="O108" i="7"/>
  <c r="O30" i="7"/>
  <c r="L68" i="6"/>
  <c r="O92" i="6"/>
  <c r="L60" i="6"/>
  <c r="O86" i="6"/>
  <c r="I88" i="6"/>
  <c r="L85" i="6"/>
  <c r="L31" i="6"/>
  <c r="O93" i="6"/>
  <c r="E90" i="6"/>
  <c r="C52" i="6"/>
  <c r="K111" i="6"/>
  <c r="D55" i="6"/>
  <c r="C82" i="6"/>
  <c r="F52" i="6"/>
  <c r="O27" i="6"/>
  <c r="O84" i="6"/>
  <c r="G110" i="6"/>
  <c r="H88" i="6"/>
  <c r="H86" i="6"/>
  <c r="O111" i="6"/>
  <c r="O43" i="6"/>
  <c r="G95" i="6"/>
  <c r="D67" i="6"/>
  <c r="K43" i="6"/>
  <c r="O100" i="6"/>
  <c r="O50" i="6"/>
  <c r="G94" i="6"/>
  <c r="D40" i="6"/>
  <c r="C92" i="6"/>
  <c r="O38" i="6"/>
  <c r="I106" i="6"/>
  <c r="G70" i="6"/>
  <c r="L81" i="6"/>
  <c r="O95" i="6"/>
  <c r="G40" i="6"/>
  <c r="L92" i="6"/>
  <c r="L64" i="6"/>
  <c r="F40" i="6"/>
  <c r="E95" i="6"/>
  <c r="O41" i="6"/>
  <c r="I102" i="6"/>
  <c r="L90" i="6"/>
  <c r="O36" i="6"/>
  <c r="H87" i="6"/>
  <c r="C33" i="6"/>
  <c r="E97" i="6"/>
  <c r="D34" i="6"/>
  <c r="O78" i="6"/>
  <c r="O88" i="6"/>
  <c r="O34" i="6"/>
  <c r="O32" i="6"/>
  <c r="D69" i="6"/>
  <c r="G41" i="6"/>
  <c r="O52" i="6"/>
  <c r="O72" i="6"/>
  <c r="H70" i="6"/>
  <c r="E111" i="6"/>
  <c r="K96" i="6"/>
  <c r="G38" i="6"/>
  <c r="O64" i="6"/>
  <c r="C104" i="6"/>
  <c r="I78" i="6"/>
  <c r="C51" i="6"/>
  <c r="G28" i="6"/>
  <c r="O68" i="6"/>
  <c r="O30" i="6"/>
  <c r="C67" i="6"/>
  <c r="O105" i="6"/>
  <c r="J51" i="6"/>
  <c r="G43" i="6"/>
  <c r="E52" i="6"/>
  <c r="O90" i="6"/>
  <c r="K37" i="6"/>
  <c r="O37" i="6"/>
  <c r="E78" i="6"/>
  <c r="O81" i="6"/>
  <c r="C106" i="6"/>
  <c r="I31" i="6"/>
  <c r="H99" i="6"/>
  <c r="K93" i="6"/>
  <c r="K32" i="6"/>
  <c r="O60" i="6"/>
  <c r="O102" i="6"/>
  <c r="G73" i="6"/>
  <c r="J49" i="6"/>
  <c r="O109" i="6"/>
  <c r="D64" i="6"/>
  <c r="O48" i="6"/>
  <c r="O103" i="6"/>
  <c r="O53" i="6"/>
  <c r="G101" i="6"/>
  <c r="D47" i="6"/>
  <c r="O108" i="6"/>
  <c r="O83" i="6"/>
  <c r="O79" i="6"/>
  <c r="O76" i="6"/>
  <c r="O74" i="6"/>
  <c r="O65" i="6"/>
  <c r="O61" i="6"/>
  <c r="O58" i="6"/>
  <c r="O56" i="6"/>
  <c r="O45" i="6"/>
  <c r="O29" i="6"/>
  <c r="O91" i="6"/>
  <c r="O63" i="6"/>
  <c r="H53" i="6"/>
  <c r="O42" i="6"/>
  <c r="D38" i="6"/>
  <c r="G109" i="6"/>
  <c r="C103" i="6"/>
  <c r="I100" i="6"/>
  <c r="L94" i="6"/>
  <c r="G91" i="6"/>
  <c r="O87" i="6"/>
  <c r="F84" i="6"/>
  <c r="O82" i="6"/>
  <c r="H81" i="6"/>
  <c r="D66" i="6"/>
  <c r="L63" i="6"/>
  <c r="E46" i="6"/>
  <c r="E39" i="6"/>
  <c r="I27" i="6"/>
  <c r="K108" i="6"/>
  <c r="F83" i="6"/>
  <c r="K79" i="6"/>
  <c r="J76" i="6"/>
  <c r="J74" i="6"/>
  <c r="K65" i="6"/>
  <c r="J61" i="6"/>
  <c r="H58" i="6"/>
  <c r="H56" i="6"/>
  <c r="L45" i="6"/>
  <c r="I29" i="6"/>
  <c r="K109" i="6"/>
  <c r="H105" i="6"/>
  <c r="J103" i="6"/>
  <c r="O101" i="6"/>
  <c r="J100" i="6"/>
  <c r="E96" i="6"/>
  <c r="O94" i="6"/>
  <c r="E93" i="6"/>
  <c r="I81" i="6"/>
  <c r="F79" i="6"/>
  <c r="O77" i="6"/>
  <c r="C61" i="6"/>
  <c r="D48" i="6"/>
  <c r="D45" i="6"/>
  <c r="O39" i="6"/>
  <c r="G36" i="6"/>
  <c r="L27" i="6"/>
  <c r="L119" i="6" s="1"/>
  <c r="L12" i="6" s="1"/>
  <c r="L14" i="6" s="1"/>
  <c r="L19" i="6" s="1"/>
  <c r="L21" i="6" s="1"/>
  <c r="K101" i="6"/>
  <c r="I87" i="6"/>
  <c r="O85" i="6"/>
  <c r="J82" i="6"/>
  <c r="H69" i="6"/>
  <c r="C66" i="6"/>
  <c r="F59" i="6"/>
  <c r="O55" i="6"/>
  <c r="O40" i="6"/>
  <c r="F33" i="6"/>
  <c r="O31" i="6"/>
  <c r="C30" i="6"/>
  <c r="E108" i="6"/>
  <c r="G79" i="6"/>
  <c r="F74" i="6"/>
  <c r="E65" i="6"/>
  <c r="E61" i="6"/>
  <c r="F56" i="6"/>
  <c r="I45" i="6"/>
  <c r="C29" i="6"/>
  <c r="H84" i="6"/>
  <c r="I72" i="6"/>
  <c r="G68" i="6"/>
  <c r="O66" i="6"/>
  <c r="D65" i="6"/>
  <c r="O59" i="6"/>
  <c r="C50" i="6"/>
  <c r="O46" i="6"/>
  <c r="K30" i="6"/>
  <c r="O110" i="6"/>
  <c r="L101" i="6"/>
  <c r="K77" i="6"/>
  <c r="O75" i="6"/>
  <c r="F72" i="6"/>
  <c r="O69" i="6"/>
  <c r="J59" i="6"/>
  <c r="O57" i="6"/>
  <c r="C53" i="6"/>
  <c r="K42" i="6"/>
  <c r="E36" i="6"/>
  <c r="E119" i="6" s="1"/>
  <c r="E12" i="6" s="1"/>
  <c r="E14" i="6" s="1"/>
  <c r="E19" i="6" s="1"/>
  <c r="E21" i="6" s="1"/>
  <c r="O33" i="6"/>
  <c r="I30" i="6"/>
  <c r="K110" i="6"/>
  <c r="E109" i="6"/>
  <c r="O106" i="6"/>
  <c r="O97" i="6"/>
  <c r="H94" i="6"/>
  <c r="D84" i="6"/>
  <c r="F81" i="6"/>
  <c r="E77" i="6"/>
  <c r="F75" i="6"/>
  <c r="O73" i="6"/>
  <c r="D63" i="6"/>
  <c r="F42" i="6"/>
  <c r="D39" i="6"/>
  <c r="O28" i="6"/>
  <c r="D110" i="6"/>
  <c r="F101" i="6"/>
  <c r="J57" i="6"/>
  <c r="O51" i="6"/>
  <c r="D46" i="6"/>
  <c r="G99" i="6"/>
  <c r="O67" i="6"/>
  <c r="F85" i="6"/>
  <c r="J73" i="6"/>
  <c r="L28" i="6"/>
  <c r="C39" i="6"/>
  <c r="J60" i="6"/>
  <c r="J90" i="6"/>
  <c r="H90" i="6"/>
  <c r="G90" i="6"/>
  <c r="O47" i="6"/>
  <c r="O99" i="6"/>
  <c r="O70" i="6"/>
  <c r="E47" i="6"/>
  <c r="O104" i="6"/>
  <c r="J55" i="6"/>
  <c r="I99" i="6"/>
  <c r="O49" i="6"/>
  <c r="O96" i="6"/>
  <c r="E42" i="6"/>
  <c r="G111" i="6"/>
  <c r="D119" i="5"/>
  <c r="D12" i="5" s="1"/>
  <c r="D14" i="5" s="1"/>
  <c r="D19" i="5" s="1"/>
  <c r="D21" i="5" s="1"/>
  <c r="J119" i="5"/>
  <c r="J12" i="5" s="1"/>
  <c r="J14" i="5" s="1"/>
  <c r="J19" i="5" s="1"/>
  <c r="J21" i="5" s="1"/>
  <c r="K119" i="5"/>
  <c r="K12" i="5" s="1"/>
  <c r="K14" i="5" s="1"/>
  <c r="K19" i="5" s="1"/>
  <c r="K21" i="5" s="1"/>
  <c r="F119" i="5"/>
  <c r="F12" i="5" s="1"/>
  <c r="F14" i="5" s="1"/>
  <c r="F19" i="5" s="1"/>
  <c r="F21" i="5" s="1"/>
  <c r="C119" i="5"/>
  <c r="C12" i="5" s="1"/>
  <c r="C14" i="5" s="1"/>
  <c r="C19" i="5" s="1"/>
  <c r="C21" i="5" s="1"/>
  <c r="G119" i="5"/>
  <c r="G12" i="5" s="1"/>
  <c r="G14" i="5" s="1"/>
  <c r="G19" i="5" s="1"/>
  <c r="G21" i="5" s="1"/>
  <c r="I119" i="5"/>
  <c r="I12" i="5" s="1"/>
  <c r="I14" i="5" s="1"/>
  <c r="I19" i="5" s="1"/>
  <c r="I21" i="5" s="1"/>
  <c r="L119" i="5"/>
  <c r="L12" i="5" s="1"/>
  <c r="L14" i="5" s="1"/>
  <c r="L19" i="5" s="1"/>
  <c r="L21" i="5" s="1"/>
  <c r="O119" i="5"/>
  <c r="L8" i="5" s="1"/>
  <c r="H119" i="5"/>
  <c r="H12" i="5" s="1"/>
  <c r="H14" i="5" s="1"/>
  <c r="H19" i="5" s="1"/>
  <c r="H21" i="5" s="1"/>
  <c r="E119" i="5"/>
  <c r="E12" i="5" s="1"/>
  <c r="E14" i="5" s="1"/>
  <c r="E19" i="5" s="1"/>
  <c r="E21" i="5" s="1"/>
  <c r="H118" i="2"/>
  <c r="O118" i="2"/>
  <c r="H117" i="2"/>
  <c r="O117" i="2"/>
  <c r="J116" i="2"/>
  <c r="O116" i="2"/>
  <c r="J115" i="2"/>
  <c r="O115" i="2"/>
  <c r="E114" i="2"/>
  <c r="O114" i="2"/>
  <c r="H113" i="2"/>
  <c r="O113" i="2"/>
  <c r="E116" i="2"/>
  <c r="H115" i="2"/>
  <c r="E117" i="2"/>
  <c r="J113" i="2"/>
  <c r="E118" i="2"/>
  <c r="H116" i="2"/>
  <c r="J118" i="2"/>
  <c r="H114" i="2"/>
  <c r="J117" i="2"/>
  <c r="E113" i="2"/>
  <c r="E115" i="2"/>
  <c r="J114" i="2"/>
  <c r="Q27" i="2"/>
  <c r="E119" i="14" l="1"/>
  <c r="E12" i="14" s="1"/>
  <c r="E14" i="14" s="1"/>
  <c r="E19" i="14" s="1"/>
  <c r="E21" i="14" s="1"/>
  <c r="G119" i="13"/>
  <c r="G12" i="13" s="1"/>
  <c r="G14" i="13" s="1"/>
  <c r="G19" i="13" s="1"/>
  <c r="G21" i="13" s="1"/>
  <c r="F119" i="12"/>
  <c r="F12" i="12" s="1"/>
  <c r="F14" i="12" s="1"/>
  <c r="F19" i="12" s="1"/>
  <c r="F21" i="12" s="1"/>
  <c r="G119" i="11"/>
  <c r="G12" i="11" s="1"/>
  <c r="G14" i="11" s="1"/>
  <c r="G19" i="11" s="1"/>
  <c r="G21" i="11" s="1"/>
  <c r="O119" i="7"/>
  <c r="L8" i="7" s="1"/>
  <c r="K119" i="16"/>
  <c r="K12" i="16" s="1"/>
  <c r="K14" i="16" s="1"/>
  <c r="K19" i="16" s="1"/>
  <c r="K21" i="16" s="1"/>
  <c r="O119" i="16"/>
  <c r="L8" i="16" s="1"/>
  <c r="J119" i="16"/>
  <c r="J12" i="16" s="1"/>
  <c r="J14" i="16" s="1"/>
  <c r="J19" i="16" s="1"/>
  <c r="J21" i="16" s="1"/>
  <c r="C119" i="16"/>
  <c r="C12" i="16" s="1"/>
  <c r="C14" i="16" s="1"/>
  <c r="C19" i="16" s="1"/>
  <c r="C21" i="16" s="1"/>
  <c r="I119" i="16"/>
  <c r="I12" i="16" s="1"/>
  <c r="I14" i="16" s="1"/>
  <c r="I19" i="16" s="1"/>
  <c r="I21" i="16" s="1"/>
  <c r="G119" i="16"/>
  <c r="G12" i="16" s="1"/>
  <c r="G14" i="16" s="1"/>
  <c r="G19" i="16" s="1"/>
  <c r="G21" i="16" s="1"/>
  <c r="E119" i="16"/>
  <c r="E12" i="16" s="1"/>
  <c r="E14" i="16" s="1"/>
  <c r="E19" i="16" s="1"/>
  <c r="E21" i="16" s="1"/>
  <c r="H119" i="16"/>
  <c r="H12" i="16" s="1"/>
  <c r="H14" i="16" s="1"/>
  <c r="H19" i="16" s="1"/>
  <c r="H21" i="16" s="1"/>
  <c r="D119" i="16"/>
  <c r="D12" i="16" s="1"/>
  <c r="D14" i="16" s="1"/>
  <c r="D19" i="16" s="1"/>
  <c r="D21" i="16" s="1"/>
  <c r="F119" i="16"/>
  <c r="F12" i="16" s="1"/>
  <c r="F14" i="16" s="1"/>
  <c r="F19" i="16" s="1"/>
  <c r="F21" i="16" s="1"/>
  <c r="L119" i="16"/>
  <c r="L12" i="16" s="1"/>
  <c r="L14" i="16" s="1"/>
  <c r="L19" i="16" s="1"/>
  <c r="L21" i="16" s="1"/>
  <c r="D119" i="14"/>
  <c r="D12" i="14" s="1"/>
  <c r="D14" i="14" s="1"/>
  <c r="D19" i="14" s="1"/>
  <c r="D21" i="14" s="1"/>
  <c r="K119" i="14"/>
  <c r="K12" i="14" s="1"/>
  <c r="K14" i="14" s="1"/>
  <c r="K19" i="14" s="1"/>
  <c r="K21" i="14" s="1"/>
  <c r="F119" i="14"/>
  <c r="F12" i="14" s="1"/>
  <c r="F14" i="14" s="1"/>
  <c r="F19" i="14" s="1"/>
  <c r="F21" i="14" s="1"/>
  <c r="C119" i="14"/>
  <c r="C12" i="14" s="1"/>
  <c r="C14" i="14" s="1"/>
  <c r="C19" i="14" s="1"/>
  <c r="C21" i="14" s="1"/>
  <c r="I119" i="14"/>
  <c r="I12" i="14" s="1"/>
  <c r="I14" i="14" s="1"/>
  <c r="I19" i="14" s="1"/>
  <c r="I21" i="14" s="1"/>
  <c r="H119" i="14"/>
  <c r="H12" i="14" s="1"/>
  <c r="H14" i="14" s="1"/>
  <c r="H19" i="14" s="1"/>
  <c r="H21" i="14" s="1"/>
  <c r="O119" i="14"/>
  <c r="L8" i="14" s="1"/>
  <c r="J119" i="14"/>
  <c r="J12" i="14" s="1"/>
  <c r="J14" i="14" s="1"/>
  <c r="J19" i="14" s="1"/>
  <c r="J21" i="14" s="1"/>
  <c r="L119" i="14"/>
  <c r="L12" i="14" s="1"/>
  <c r="L14" i="14" s="1"/>
  <c r="L19" i="14" s="1"/>
  <c r="L21" i="14" s="1"/>
  <c r="H119" i="13"/>
  <c r="H12" i="13" s="1"/>
  <c r="H14" i="13" s="1"/>
  <c r="H19" i="13" s="1"/>
  <c r="H21" i="13" s="1"/>
  <c r="O119" i="13"/>
  <c r="L8" i="13" s="1"/>
  <c r="C119" i="13"/>
  <c r="C12" i="13" s="1"/>
  <c r="C14" i="13" s="1"/>
  <c r="C19" i="13" s="1"/>
  <c r="C21" i="13" s="1"/>
  <c r="J119" i="13"/>
  <c r="J12" i="13" s="1"/>
  <c r="J14" i="13" s="1"/>
  <c r="J19" i="13" s="1"/>
  <c r="J21" i="13" s="1"/>
  <c r="F119" i="13"/>
  <c r="F12" i="13" s="1"/>
  <c r="F14" i="13" s="1"/>
  <c r="F19" i="13" s="1"/>
  <c r="F21" i="13" s="1"/>
  <c r="I119" i="13"/>
  <c r="I12" i="13" s="1"/>
  <c r="I14" i="13" s="1"/>
  <c r="I19" i="13" s="1"/>
  <c r="I21" i="13" s="1"/>
  <c r="L119" i="13"/>
  <c r="L12" i="13" s="1"/>
  <c r="L14" i="13" s="1"/>
  <c r="L19" i="13" s="1"/>
  <c r="L21" i="13" s="1"/>
  <c r="K119" i="13"/>
  <c r="K12" i="13" s="1"/>
  <c r="K14" i="13" s="1"/>
  <c r="K19" i="13" s="1"/>
  <c r="K21" i="13" s="1"/>
  <c r="E119" i="13"/>
  <c r="E12" i="13" s="1"/>
  <c r="E14" i="13" s="1"/>
  <c r="E19" i="13" s="1"/>
  <c r="E21" i="13" s="1"/>
  <c r="C119" i="12"/>
  <c r="C12" i="12" s="1"/>
  <c r="C14" i="12" s="1"/>
  <c r="C19" i="12" s="1"/>
  <c r="C21" i="12" s="1"/>
  <c r="E119" i="12"/>
  <c r="E12" i="12" s="1"/>
  <c r="E14" i="12" s="1"/>
  <c r="E19" i="12" s="1"/>
  <c r="E21" i="12" s="1"/>
  <c r="J119" i="12"/>
  <c r="J12" i="12" s="1"/>
  <c r="J14" i="12" s="1"/>
  <c r="J19" i="12" s="1"/>
  <c r="J21" i="12" s="1"/>
  <c r="O119" i="12"/>
  <c r="L8" i="12" s="1"/>
  <c r="I119" i="12"/>
  <c r="I12" i="12" s="1"/>
  <c r="I14" i="12" s="1"/>
  <c r="I19" i="12" s="1"/>
  <c r="I21" i="12" s="1"/>
  <c r="K119" i="12"/>
  <c r="K12" i="12" s="1"/>
  <c r="K14" i="12" s="1"/>
  <c r="K19" i="12" s="1"/>
  <c r="K21" i="12" s="1"/>
  <c r="H119" i="12"/>
  <c r="H12" i="12" s="1"/>
  <c r="H14" i="12" s="1"/>
  <c r="H19" i="12" s="1"/>
  <c r="H21" i="12" s="1"/>
  <c r="G119" i="12"/>
  <c r="G12" i="12" s="1"/>
  <c r="G14" i="12" s="1"/>
  <c r="G19" i="12" s="1"/>
  <c r="G21" i="12" s="1"/>
  <c r="L119" i="12"/>
  <c r="L12" i="12" s="1"/>
  <c r="L14" i="12" s="1"/>
  <c r="L19" i="12" s="1"/>
  <c r="L21" i="12" s="1"/>
  <c r="D119" i="11"/>
  <c r="D12" i="11" s="1"/>
  <c r="D14" i="11" s="1"/>
  <c r="D19" i="11" s="1"/>
  <c r="D21" i="11" s="1"/>
  <c r="J119" i="11"/>
  <c r="J12" i="11" s="1"/>
  <c r="J14" i="11" s="1"/>
  <c r="J19" i="11" s="1"/>
  <c r="J21" i="11" s="1"/>
  <c r="O119" i="11"/>
  <c r="L8" i="11" s="1"/>
  <c r="H119" i="11"/>
  <c r="H12" i="11" s="1"/>
  <c r="H14" i="11" s="1"/>
  <c r="H19" i="11" s="1"/>
  <c r="H21" i="11" s="1"/>
  <c r="F119" i="11"/>
  <c r="F12" i="11" s="1"/>
  <c r="F14" i="11" s="1"/>
  <c r="F19" i="11" s="1"/>
  <c r="F21" i="11" s="1"/>
  <c r="E119" i="11"/>
  <c r="E12" i="11" s="1"/>
  <c r="E14" i="11" s="1"/>
  <c r="E19" i="11" s="1"/>
  <c r="E21" i="11" s="1"/>
  <c r="L119" i="11"/>
  <c r="L12" i="11" s="1"/>
  <c r="L14" i="11" s="1"/>
  <c r="L19" i="11" s="1"/>
  <c r="L21" i="11" s="1"/>
  <c r="H119" i="10"/>
  <c r="H12" i="10" s="1"/>
  <c r="H14" i="10" s="1"/>
  <c r="H19" i="10" s="1"/>
  <c r="H21" i="10" s="1"/>
  <c r="F119" i="10"/>
  <c r="F12" i="10" s="1"/>
  <c r="F14" i="10" s="1"/>
  <c r="F19" i="10" s="1"/>
  <c r="F21" i="10" s="1"/>
  <c r="I119" i="10"/>
  <c r="I12" i="10" s="1"/>
  <c r="I14" i="10" s="1"/>
  <c r="I19" i="10" s="1"/>
  <c r="I21" i="10" s="1"/>
  <c r="D119" i="10"/>
  <c r="D12" i="10" s="1"/>
  <c r="D14" i="10" s="1"/>
  <c r="D19" i="10" s="1"/>
  <c r="D21" i="10" s="1"/>
  <c r="G119" i="10"/>
  <c r="G12" i="10" s="1"/>
  <c r="G14" i="10" s="1"/>
  <c r="G19" i="10" s="1"/>
  <c r="G21" i="10" s="1"/>
  <c r="J119" i="10"/>
  <c r="J12" i="10" s="1"/>
  <c r="J14" i="10" s="1"/>
  <c r="J19" i="10" s="1"/>
  <c r="J21" i="10" s="1"/>
  <c r="L119" i="10"/>
  <c r="L12" i="10" s="1"/>
  <c r="L14" i="10" s="1"/>
  <c r="L19" i="10" s="1"/>
  <c r="L21" i="10" s="1"/>
  <c r="E119" i="10"/>
  <c r="E12" i="10" s="1"/>
  <c r="E14" i="10" s="1"/>
  <c r="E19" i="10" s="1"/>
  <c r="E21" i="10" s="1"/>
  <c r="K119" i="10"/>
  <c r="K12" i="10" s="1"/>
  <c r="K14" i="10" s="1"/>
  <c r="K19" i="10" s="1"/>
  <c r="K21" i="10" s="1"/>
  <c r="C119" i="10"/>
  <c r="C12" i="10" s="1"/>
  <c r="C14" i="10" s="1"/>
  <c r="C19" i="10" s="1"/>
  <c r="C21" i="10" s="1"/>
  <c r="O119" i="10"/>
  <c r="L8" i="10" s="1"/>
  <c r="F119" i="9"/>
  <c r="F12" i="9" s="1"/>
  <c r="F14" i="9" s="1"/>
  <c r="F19" i="9" s="1"/>
  <c r="F21" i="9" s="1"/>
  <c r="H119" i="9"/>
  <c r="H12" i="9" s="1"/>
  <c r="H14" i="9" s="1"/>
  <c r="H19" i="9" s="1"/>
  <c r="H21" i="9" s="1"/>
  <c r="K119" i="9"/>
  <c r="K12" i="9" s="1"/>
  <c r="K14" i="9" s="1"/>
  <c r="K19" i="9" s="1"/>
  <c r="K21" i="9" s="1"/>
  <c r="I119" i="9"/>
  <c r="I12" i="9" s="1"/>
  <c r="I14" i="9" s="1"/>
  <c r="I19" i="9" s="1"/>
  <c r="I21" i="9" s="1"/>
  <c r="L119" i="9"/>
  <c r="L12" i="9" s="1"/>
  <c r="L14" i="9" s="1"/>
  <c r="L19" i="9" s="1"/>
  <c r="L21" i="9" s="1"/>
  <c r="G119" i="9"/>
  <c r="G12" i="9" s="1"/>
  <c r="G14" i="9" s="1"/>
  <c r="G19" i="9" s="1"/>
  <c r="G21" i="9" s="1"/>
  <c r="E119" i="9"/>
  <c r="E12" i="9" s="1"/>
  <c r="E14" i="9" s="1"/>
  <c r="E19" i="9" s="1"/>
  <c r="E21" i="9" s="1"/>
  <c r="C119" i="9"/>
  <c r="C12" i="9" s="1"/>
  <c r="C14" i="9" s="1"/>
  <c r="C19" i="9" s="1"/>
  <c r="C21" i="9" s="1"/>
  <c r="J119" i="9"/>
  <c r="J12" i="9" s="1"/>
  <c r="J14" i="9" s="1"/>
  <c r="J19" i="9" s="1"/>
  <c r="J21" i="9" s="1"/>
  <c r="O119" i="9"/>
  <c r="L8" i="9" s="1"/>
  <c r="K119" i="8"/>
  <c r="K12" i="8" s="1"/>
  <c r="K14" i="8" s="1"/>
  <c r="K19" i="8" s="1"/>
  <c r="K21" i="8" s="1"/>
  <c r="O119" i="8"/>
  <c r="L8" i="8" s="1"/>
  <c r="F119" i="8"/>
  <c r="F12" i="8" s="1"/>
  <c r="F14" i="8" s="1"/>
  <c r="F19" i="8" s="1"/>
  <c r="F21" i="8" s="1"/>
  <c r="D119" i="8"/>
  <c r="D12" i="8" s="1"/>
  <c r="D14" i="8" s="1"/>
  <c r="D19" i="8" s="1"/>
  <c r="D21" i="8" s="1"/>
  <c r="G119" i="8"/>
  <c r="G12" i="8" s="1"/>
  <c r="G14" i="8" s="1"/>
  <c r="G19" i="8" s="1"/>
  <c r="G21" i="8" s="1"/>
  <c r="E119" i="8"/>
  <c r="E12" i="8" s="1"/>
  <c r="E14" i="8" s="1"/>
  <c r="E19" i="8" s="1"/>
  <c r="E21" i="8" s="1"/>
  <c r="J119" i="8"/>
  <c r="J12" i="8" s="1"/>
  <c r="J14" i="8" s="1"/>
  <c r="J19" i="8" s="1"/>
  <c r="J21" i="8" s="1"/>
  <c r="H119" i="8"/>
  <c r="H12" i="8" s="1"/>
  <c r="H14" i="8" s="1"/>
  <c r="H19" i="8" s="1"/>
  <c r="H21" i="8" s="1"/>
  <c r="L119" i="8"/>
  <c r="L12" i="8" s="1"/>
  <c r="L14" i="8" s="1"/>
  <c r="L19" i="8" s="1"/>
  <c r="L21" i="8" s="1"/>
  <c r="I119" i="8"/>
  <c r="I12" i="8" s="1"/>
  <c r="I14" i="8" s="1"/>
  <c r="I19" i="8" s="1"/>
  <c r="I21" i="8" s="1"/>
  <c r="C119" i="8"/>
  <c r="C12" i="8" s="1"/>
  <c r="C14" i="8" s="1"/>
  <c r="C19" i="8" s="1"/>
  <c r="C21" i="8" s="1"/>
  <c r="E119" i="7"/>
  <c r="E12" i="7" s="1"/>
  <c r="E14" i="7" s="1"/>
  <c r="E19" i="7" s="1"/>
  <c r="E21" i="7" s="1"/>
  <c r="J119" i="7"/>
  <c r="J12" i="7" s="1"/>
  <c r="J14" i="7" s="1"/>
  <c r="J19" i="7" s="1"/>
  <c r="J21" i="7" s="1"/>
  <c r="H119" i="7"/>
  <c r="H12" i="7" s="1"/>
  <c r="H14" i="7" s="1"/>
  <c r="H19" i="7" s="1"/>
  <c r="H21" i="7" s="1"/>
  <c r="C119" i="7"/>
  <c r="C12" i="7" s="1"/>
  <c r="C14" i="7" s="1"/>
  <c r="C19" i="7" s="1"/>
  <c r="C21" i="7" s="1"/>
  <c r="I119" i="7"/>
  <c r="I12" i="7" s="1"/>
  <c r="I14" i="7" s="1"/>
  <c r="I19" i="7" s="1"/>
  <c r="I21" i="7" s="1"/>
  <c r="K119" i="7"/>
  <c r="K12" i="7" s="1"/>
  <c r="K14" i="7" s="1"/>
  <c r="K19" i="7" s="1"/>
  <c r="K21" i="7" s="1"/>
  <c r="L119" i="7"/>
  <c r="L12" i="7" s="1"/>
  <c r="L14" i="7" s="1"/>
  <c r="L19" i="7" s="1"/>
  <c r="L21" i="7" s="1"/>
  <c r="F119" i="7"/>
  <c r="F12" i="7" s="1"/>
  <c r="F14" i="7" s="1"/>
  <c r="F19" i="7" s="1"/>
  <c r="F21" i="7" s="1"/>
  <c r="G119" i="7"/>
  <c r="G12" i="7" s="1"/>
  <c r="G14" i="7" s="1"/>
  <c r="G19" i="7" s="1"/>
  <c r="G21" i="7" s="1"/>
  <c r="F119" i="6"/>
  <c r="F12" i="6" s="1"/>
  <c r="F14" i="6" s="1"/>
  <c r="F19" i="6" s="1"/>
  <c r="F21" i="6" s="1"/>
  <c r="G119" i="6"/>
  <c r="G12" i="6" s="1"/>
  <c r="G14" i="6" s="1"/>
  <c r="G19" i="6" s="1"/>
  <c r="G21" i="6" s="1"/>
  <c r="D119" i="6"/>
  <c r="D12" i="6" s="1"/>
  <c r="D14" i="6" s="1"/>
  <c r="D19" i="6" s="1"/>
  <c r="D21" i="6" s="1"/>
  <c r="O119" i="6"/>
  <c r="L8" i="6" s="1"/>
  <c r="K119" i="6"/>
  <c r="K12" i="6" s="1"/>
  <c r="K14" i="6" s="1"/>
  <c r="K19" i="6" s="1"/>
  <c r="K21" i="6" s="1"/>
  <c r="C119" i="6"/>
  <c r="C12" i="6" s="1"/>
  <c r="C14" i="6" s="1"/>
  <c r="C19" i="6" s="1"/>
  <c r="C21" i="6" s="1"/>
  <c r="I119" i="6"/>
  <c r="I12" i="6" s="1"/>
  <c r="I14" i="6" s="1"/>
  <c r="I19" i="6" s="1"/>
  <c r="I21" i="6" s="1"/>
  <c r="H119" i="6"/>
  <c r="H12" i="6" s="1"/>
  <c r="H14" i="6" s="1"/>
  <c r="H19" i="6" s="1"/>
  <c r="H21" i="6" s="1"/>
  <c r="J119" i="6"/>
  <c r="J12" i="6" s="1"/>
  <c r="J14" i="6" s="1"/>
  <c r="J19" i="6" s="1"/>
  <c r="J21" i="6" s="1"/>
  <c r="Q28" i="2"/>
  <c r="Q29" i="2"/>
  <c r="Q30" i="2"/>
  <c r="Q31" i="2"/>
  <c r="Q32" i="2"/>
  <c r="Q33" i="2"/>
  <c r="Q34" i="2"/>
  <c r="Q36" i="2"/>
  <c r="Q37" i="2"/>
  <c r="Q38" i="2"/>
  <c r="Q39" i="2"/>
  <c r="Q40" i="2"/>
  <c r="Q41" i="2"/>
  <c r="Q42" i="2"/>
  <c r="Q43" i="2"/>
  <c r="Q45" i="2"/>
  <c r="Q46" i="2"/>
  <c r="Q47" i="2"/>
  <c r="Q48" i="2"/>
  <c r="Q49" i="2"/>
  <c r="Q50" i="2"/>
  <c r="Q51" i="2"/>
  <c r="Q52" i="2"/>
  <c r="Q53" i="2"/>
  <c r="Q55" i="2"/>
  <c r="Q56" i="2"/>
  <c r="Q57" i="2"/>
  <c r="Q58" i="2"/>
  <c r="Q59" i="2"/>
  <c r="Q60" i="2"/>
  <c r="Q61" i="2"/>
  <c r="Q63" i="2"/>
  <c r="Q64" i="2"/>
  <c r="Q65" i="2"/>
  <c r="Q66" i="2"/>
  <c r="Q67" i="2"/>
  <c r="Q68" i="2"/>
  <c r="Q69" i="2"/>
  <c r="Q70" i="2"/>
  <c r="Q72" i="2"/>
  <c r="Q73" i="2"/>
  <c r="Q74" i="2"/>
  <c r="Q75" i="2"/>
  <c r="Q76" i="2"/>
  <c r="Q77" i="2"/>
  <c r="Q78" i="2"/>
  <c r="Q79" i="2"/>
  <c r="Q81" i="2"/>
  <c r="Q82" i="2"/>
  <c r="Q83" i="2"/>
  <c r="Q84" i="2"/>
  <c r="Q85" i="2"/>
  <c r="Q86" i="2"/>
  <c r="Q87" i="2"/>
  <c r="Q88" i="2"/>
  <c r="Q90" i="2"/>
  <c r="Q91" i="2"/>
  <c r="Q92" i="2"/>
  <c r="Q93" i="2"/>
  <c r="Q94" i="2"/>
  <c r="Q95" i="2"/>
  <c r="Q96" i="2"/>
  <c r="Q97" i="2"/>
  <c r="Q99" i="2"/>
  <c r="Q100" i="2"/>
  <c r="Q101" i="2"/>
  <c r="Q102" i="2"/>
  <c r="Q103" i="2"/>
  <c r="Q104" i="2"/>
  <c r="Q105" i="2"/>
  <c r="Q106" i="2"/>
  <c r="Q108" i="2"/>
  <c r="Q109" i="2"/>
  <c r="Q110" i="2"/>
  <c r="Q111" i="2"/>
  <c r="B119" i="2" l="1"/>
  <c r="C13" i="2" l="1"/>
  <c r="D13" i="2"/>
  <c r="J13" i="2"/>
  <c r="H13" i="2"/>
  <c r="I13" i="2"/>
  <c r="K13" i="2"/>
  <c r="L13" i="2"/>
  <c r="E13" i="2"/>
  <c r="F13" i="2"/>
  <c r="G13" i="2"/>
  <c r="L7" i="2" l="1"/>
  <c r="O55" i="2" s="1"/>
  <c r="L153" i="1"/>
  <c r="E153" i="1"/>
  <c r="F153" i="1"/>
  <c r="G153" i="1"/>
  <c r="H153" i="1"/>
  <c r="I153" i="1"/>
  <c r="J153" i="1"/>
  <c r="K153" i="1"/>
  <c r="D153" i="1"/>
  <c r="C153" i="1"/>
  <c r="C146" i="1"/>
  <c r="L157" i="1"/>
  <c r="K157" i="1"/>
  <c r="J157" i="1"/>
  <c r="I157" i="1"/>
  <c r="H157" i="1"/>
  <c r="G157" i="1"/>
  <c r="F157" i="1"/>
  <c r="E157" i="1"/>
  <c r="D157" i="1"/>
  <c r="C157" i="1"/>
  <c r="D136" i="1"/>
  <c r="C24" i="1"/>
  <c r="E152" i="1"/>
  <c r="F152" i="1"/>
  <c r="G152" i="1"/>
  <c r="H152" i="1"/>
  <c r="I152" i="1"/>
  <c r="J152" i="1"/>
  <c r="K152" i="1"/>
  <c r="L152" i="1"/>
  <c r="D152" i="1"/>
  <c r="C152" i="1"/>
  <c r="L150" i="1"/>
  <c r="K150" i="1"/>
  <c r="J150" i="1"/>
  <c r="I150" i="1"/>
  <c r="H150" i="1"/>
  <c r="G150" i="1"/>
  <c r="F150" i="1"/>
  <c r="E150" i="1"/>
  <c r="D150" i="1"/>
  <c r="C150" i="1"/>
  <c r="G43" i="1"/>
  <c r="L141" i="1"/>
  <c r="K141" i="1"/>
  <c r="J141" i="1"/>
  <c r="I141" i="1"/>
  <c r="H141" i="1"/>
  <c r="G141" i="1"/>
  <c r="F141" i="1"/>
  <c r="E141" i="1"/>
  <c r="D141" i="1"/>
  <c r="C141" i="1"/>
  <c r="L127" i="1"/>
  <c r="K127" i="1"/>
  <c r="J127" i="1"/>
  <c r="I127" i="1"/>
  <c r="H127" i="1"/>
  <c r="G127" i="1"/>
  <c r="F127" i="1"/>
  <c r="E127" i="1"/>
  <c r="D127" i="1"/>
  <c r="C127" i="1"/>
  <c r="L113" i="1"/>
  <c r="K113" i="1"/>
  <c r="J113" i="1"/>
  <c r="I113" i="1"/>
  <c r="H113" i="1"/>
  <c r="G113" i="1"/>
  <c r="F113" i="1"/>
  <c r="E113" i="1"/>
  <c r="D113" i="1"/>
  <c r="C113" i="1"/>
  <c r="L99" i="1"/>
  <c r="K99" i="1"/>
  <c r="J99" i="1"/>
  <c r="I99" i="1"/>
  <c r="H99" i="1"/>
  <c r="G99" i="1"/>
  <c r="F99" i="1"/>
  <c r="E99" i="1"/>
  <c r="D99" i="1"/>
  <c r="C99" i="1"/>
  <c r="L85" i="1"/>
  <c r="K85" i="1"/>
  <c r="J85" i="1"/>
  <c r="I85" i="1"/>
  <c r="H85" i="1"/>
  <c r="G85" i="1"/>
  <c r="F85" i="1"/>
  <c r="E85" i="1"/>
  <c r="D85" i="1"/>
  <c r="C85" i="1"/>
  <c r="L71" i="1"/>
  <c r="K71" i="1"/>
  <c r="J71" i="1"/>
  <c r="I71" i="1"/>
  <c r="H71" i="1"/>
  <c r="G71" i="1"/>
  <c r="F71" i="1"/>
  <c r="E71" i="1"/>
  <c r="D71" i="1"/>
  <c r="C71" i="1"/>
  <c r="L58" i="1"/>
  <c r="K58" i="1"/>
  <c r="J58" i="1"/>
  <c r="I58" i="1"/>
  <c r="H58" i="1"/>
  <c r="G58" i="1"/>
  <c r="F58" i="1"/>
  <c r="E58" i="1"/>
  <c r="D58" i="1"/>
  <c r="C58" i="1"/>
  <c r="L43" i="1"/>
  <c r="K43" i="1"/>
  <c r="J43" i="1"/>
  <c r="I43" i="1"/>
  <c r="H43" i="1"/>
  <c r="F43" i="1"/>
  <c r="E43" i="1"/>
  <c r="D43" i="1"/>
  <c r="C43" i="1"/>
  <c r="D29" i="1"/>
  <c r="E29" i="1"/>
  <c r="F29" i="1"/>
  <c r="G29" i="1"/>
  <c r="H29" i="1"/>
  <c r="I29" i="1"/>
  <c r="J29" i="1"/>
  <c r="K29" i="1"/>
  <c r="L29" i="1"/>
  <c r="C29" i="1"/>
  <c r="O27" i="2" l="1"/>
  <c r="O79" i="2"/>
  <c r="O33" i="2"/>
  <c r="O41" i="2"/>
  <c r="O93" i="2"/>
  <c r="O65" i="2"/>
  <c r="O96" i="2"/>
  <c r="O109" i="2"/>
  <c r="O37" i="2"/>
  <c r="O84" i="2"/>
  <c r="O53" i="2"/>
  <c r="O100" i="2"/>
  <c r="O57" i="2"/>
  <c r="O45" i="2"/>
  <c r="O78" i="2"/>
  <c r="O86" i="2"/>
  <c r="O110" i="2"/>
  <c r="O38" i="2"/>
  <c r="O82" i="2"/>
  <c r="O49" i="2"/>
  <c r="O50" i="2"/>
  <c r="O30" i="2"/>
  <c r="O43" i="2"/>
  <c r="O104" i="2"/>
  <c r="O32" i="2"/>
  <c r="O66" i="2"/>
  <c r="O56" i="2"/>
  <c r="O85" i="2"/>
  <c r="O28" i="2"/>
  <c r="O88" i="2"/>
  <c r="O36" i="2"/>
  <c r="O61" i="2"/>
  <c r="O40" i="2"/>
  <c r="O99" i="2"/>
  <c r="O77" i="2"/>
  <c r="O101" i="2"/>
  <c r="O102" i="2"/>
  <c r="O73" i="2"/>
  <c r="O90" i="2"/>
  <c r="O58" i="2"/>
  <c r="O48" i="2"/>
  <c r="O72" i="2"/>
  <c r="O74" i="2"/>
  <c r="O46" i="2"/>
  <c r="O87" i="2"/>
  <c r="O95" i="2"/>
  <c r="O97" i="2"/>
  <c r="O39" i="2"/>
  <c r="O47" i="2"/>
  <c r="O67" i="2"/>
  <c r="O91" i="2"/>
  <c r="O108" i="2"/>
  <c r="O34" i="2"/>
  <c r="O69" i="2"/>
  <c r="O105" i="2"/>
  <c r="O29" i="2"/>
  <c r="O103" i="2"/>
  <c r="O51" i="2"/>
  <c r="O59" i="2"/>
  <c r="O83" i="2"/>
  <c r="O31" i="2"/>
  <c r="O111" i="2"/>
  <c r="O60" i="2"/>
  <c r="O68" i="2"/>
  <c r="O94" i="2"/>
  <c r="O92" i="2"/>
  <c r="O106" i="2"/>
  <c r="O75" i="2"/>
  <c r="O64" i="2"/>
  <c r="O76" i="2"/>
  <c r="O81" i="2"/>
  <c r="O70" i="2"/>
  <c r="O42" i="2"/>
  <c r="O52" i="2"/>
  <c r="O63" i="2"/>
  <c r="K108" i="2"/>
  <c r="J100" i="2"/>
  <c r="G99" i="2"/>
  <c r="K93" i="2"/>
  <c r="E97" i="2"/>
  <c r="J82" i="2"/>
  <c r="F85" i="2"/>
  <c r="K77" i="2"/>
  <c r="F79" i="2"/>
  <c r="L63" i="2"/>
  <c r="D67" i="2"/>
  <c r="J61" i="2"/>
  <c r="D55" i="2"/>
  <c r="H53" i="2"/>
  <c r="D45" i="2"/>
  <c r="G43" i="2"/>
  <c r="E39" i="2"/>
  <c r="F33" i="2"/>
  <c r="I29" i="2"/>
  <c r="L94" i="2"/>
  <c r="F74" i="2"/>
  <c r="E46" i="2"/>
  <c r="L27" i="2"/>
  <c r="L92" i="2"/>
  <c r="H81" i="2"/>
  <c r="C67" i="2"/>
  <c r="D48" i="2"/>
  <c r="K30" i="2"/>
  <c r="H99" i="2"/>
  <c r="H86" i="2"/>
  <c r="E65" i="2"/>
  <c r="D47" i="2"/>
  <c r="I30" i="2"/>
  <c r="G101" i="2"/>
  <c r="L81" i="2"/>
  <c r="L64" i="2"/>
  <c r="I45" i="2"/>
  <c r="D34" i="2"/>
  <c r="G110" i="2"/>
  <c r="I106" i="2"/>
  <c r="F101" i="2"/>
  <c r="J90" i="2"/>
  <c r="E96" i="2"/>
  <c r="I88" i="2"/>
  <c r="F84" i="2"/>
  <c r="J76" i="2"/>
  <c r="E78" i="2"/>
  <c r="K65" i="2"/>
  <c r="D66" i="2"/>
  <c r="J60" i="2"/>
  <c r="C61" i="2"/>
  <c r="F52" i="2"/>
  <c r="C53" i="2"/>
  <c r="G41" i="2"/>
  <c r="D40" i="2"/>
  <c r="C33" i="2"/>
  <c r="C29" i="2"/>
  <c r="I99" i="2"/>
  <c r="C82" i="2"/>
  <c r="D63" i="2"/>
  <c r="G36" i="2"/>
  <c r="E111" i="2"/>
  <c r="C92" i="2"/>
  <c r="G68" i="2"/>
  <c r="K43" i="2"/>
  <c r="I27" i="2"/>
  <c r="L90" i="2"/>
  <c r="F81" i="2"/>
  <c r="C66" i="2"/>
  <c r="K42" i="2"/>
  <c r="K101" i="2"/>
  <c r="H84" i="2"/>
  <c r="D69" i="2"/>
  <c r="D46" i="2"/>
  <c r="C30" i="2"/>
  <c r="G109" i="2"/>
  <c r="I102" i="2"/>
  <c r="C106" i="2"/>
  <c r="H94" i="2"/>
  <c r="E95" i="2"/>
  <c r="I87" i="2"/>
  <c r="F83" i="2"/>
  <c r="J74" i="2"/>
  <c r="E77" i="2"/>
  <c r="H70" i="2"/>
  <c r="D65" i="2"/>
  <c r="J59" i="2"/>
  <c r="H58" i="2"/>
  <c r="E52" i="2"/>
  <c r="C52" i="2"/>
  <c r="G40" i="2"/>
  <c r="D39" i="2"/>
  <c r="K32" i="2"/>
  <c r="G28" i="2"/>
  <c r="E108" i="2"/>
  <c r="E90" i="2"/>
  <c r="I78" i="2"/>
  <c r="J55" i="2"/>
  <c r="C50" i="2"/>
  <c r="I31" i="2"/>
  <c r="H105" i="2"/>
  <c r="H87" i="2"/>
  <c r="F72" i="2"/>
  <c r="J51" i="2"/>
  <c r="E36" i="2"/>
  <c r="L101" i="2"/>
  <c r="L85" i="2"/>
  <c r="L68" i="2"/>
  <c r="J49" i="2"/>
  <c r="L34" i="2"/>
  <c r="K96" i="2"/>
  <c r="K79" i="2"/>
  <c r="L60" i="2"/>
  <c r="K37" i="2"/>
  <c r="K111" i="2"/>
  <c r="E109" i="2"/>
  <c r="I100" i="2"/>
  <c r="C104" i="2"/>
  <c r="H90" i="2"/>
  <c r="E93" i="2"/>
  <c r="I81" i="2"/>
  <c r="D84" i="2"/>
  <c r="J73" i="2"/>
  <c r="F75" i="2"/>
  <c r="H69" i="2"/>
  <c r="D64" i="2"/>
  <c r="J57" i="2"/>
  <c r="H56" i="2"/>
  <c r="E47" i="2"/>
  <c r="C51" i="2"/>
  <c r="G38" i="2"/>
  <c r="D38" i="2"/>
  <c r="L31" i="2"/>
  <c r="L28" i="2"/>
  <c r="G111" i="2"/>
  <c r="G95" i="2"/>
  <c r="H88" i="2"/>
  <c r="G70" i="2"/>
  <c r="L45" i="2"/>
  <c r="C39" i="2"/>
  <c r="D110" i="2"/>
  <c r="G94" i="2"/>
  <c r="I72" i="2"/>
  <c r="F59" i="2"/>
  <c r="F42" i="2"/>
  <c r="K110" i="2"/>
  <c r="G91" i="2"/>
  <c r="G79" i="2"/>
  <c r="F56" i="2"/>
  <c r="F40" i="2"/>
  <c r="K109" i="2"/>
  <c r="G90" i="2"/>
  <c r="G73" i="2"/>
  <c r="E61" i="2"/>
  <c r="E42" i="2"/>
  <c r="J103" i="2"/>
  <c r="C103" i="2"/>
  <c r="E154" i="1"/>
  <c r="E155" i="1" s="1"/>
  <c r="K154" i="1"/>
  <c r="K155" i="1" s="1"/>
  <c r="F154" i="1"/>
  <c r="F155" i="1" s="1"/>
  <c r="J154" i="1"/>
  <c r="J155" i="1" s="1"/>
  <c r="C154" i="1"/>
  <c r="C155" i="1" s="1"/>
  <c r="N155" i="1" s="1"/>
  <c r="I154" i="1"/>
  <c r="I155" i="1" s="1"/>
  <c r="G154" i="1"/>
  <c r="G155" i="1" s="1"/>
  <c r="H154" i="1"/>
  <c r="H155" i="1" s="1"/>
  <c r="D154" i="1"/>
  <c r="D155" i="1" s="1"/>
  <c r="L154" i="1"/>
  <c r="L155" i="1" s="1"/>
  <c r="D66" i="1"/>
  <c r="O119" i="2" l="1"/>
  <c r="L8" i="2" s="1"/>
  <c r="J119" i="2"/>
  <c r="J12" i="2" s="1"/>
  <c r="J14" i="2" s="1"/>
  <c r="J21" i="2" s="1"/>
  <c r="D119" i="2"/>
  <c r="D12" i="2" s="1"/>
  <c r="D14" i="2" s="1"/>
  <c r="D21" i="2" s="1"/>
  <c r="F119" i="2"/>
  <c r="F12" i="2" s="1"/>
  <c r="F14" i="2" s="1"/>
  <c r="F21" i="2" s="1"/>
  <c r="G119" i="2"/>
  <c r="G12" i="2" s="1"/>
  <c r="G14" i="2" s="1"/>
  <c r="G21" i="2" s="1"/>
  <c r="C119" i="2"/>
  <c r="C12" i="2" s="1"/>
  <c r="E119" i="2"/>
  <c r="E12" i="2" s="1"/>
  <c r="E14" i="2" s="1"/>
  <c r="E21" i="2" s="1"/>
  <c r="H119" i="2"/>
  <c r="H12" i="2" s="1"/>
  <c r="H14" i="2" s="1"/>
  <c r="H21" i="2" s="1"/>
  <c r="K119" i="2"/>
  <c r="K12" i="2" s="1"/>
  <c r="K14" i="2" s="1"/>
  <c r="K21" i="2" s="1"/>
  <c r="L119" i="2"/>
  <c r="L12" i="2" s="1"/>
  <c r="L14" i="2" s="1"/>
  <c r="L21" i="2" s="1"/>
  <c r="I119" i="2"/>
  <c r="I12" i="2" s="1"/>
  <c r="I14" i="2" s="1"/>
  <c r="I21" i="2" s="1"/>
  <c r="O155" i="1"/>
  <c r="C25" i="1"/>
  <c r="C14" i="2" l="1"/>
  <c r="C21" i="2" s="1"/>
  <c r="M155" i="1"/>
  <c r="F80" i="1"/>
  <c r="H136" i="1" l="1"/>
  <c r="K145" i="1"/>
  <c r="D145" i="1"/>
  <c r="E145" i="1"/>
  <c r="F145" i="1"/>
  <c r="G145" i="1"/>
  <c r="H145" i="1"/>
  <c r="I145" i="1"/>
  <c r="J145" i="1"/>
  <c r="L145" i="1"/>
  <c r="C145" i="1"/>
  <c r="C136" i="1"/>
  <c r="E136" i="1"/>
  <c r="F136" i="1"/>
  <c r="G136" i="1"/>
  <c r="I136" i="1"/>
  <c r="J136" i="1"/>
  <c r="K136" i="1"/>
  <c r="L136" i="1"/>
  <c r="D122" i="1"/>
  <c r="E122" i="1"/>
  <c r="F122" i="1"/>
  <c r="G122" i="1"/>
  <c r="H122" i="1"/>
  <c r="I122" i="1"/>
  <c r="J122" i="1"/>
  <c r="K122" i="1"/>
  <c r="L122" i="1"/>
  <c r="C122" i="1"/>
  <c r="D108" i="1"/>
  <c r="E108" i="1"/>
  <c r="F108" i="1"/>
  <c r="G108" i="1"/>
  <c r="H108" i="1"/>
  <c r="I108" i="1"/>
  <c r="J108" i="1"/>
  <c r="K108" i="1"/>
  <c r="L108" i="1"/>
  <c r="C108" i="1"/>
  <c r="D94" i="1"/>
  <c r="E94" i="1"/>
  <c r="F94" i="1"/>
  <c r="G94" i="1"/>
  <c r="H94" i="1"/>
  <c r="I94" i="1"/>
  <c r="J94" i="1"/>
  <c r="K94" i="1"/>
  <c r="L94" i="1"/>
  <c r="C94" i="1"/>
  <c r="L80" i="1"/>
  <c r="D80" i="1"/>
  <c r="E80" i="1"/>
  <c r="G80" i="1"/>
  <c r="H80" i="1"/>
  <c r="I80" i="1"/>
  <c r="J80" i="1"/>
  <c r="K80" i="1"/>
  <c r="C80" i="1"/>
  <c r="C66" i="1"/>
  <c r="C67" i="1"/>
  <c r="C81" i="1"/>
  <c r="C95" i="1"/>
  <c r="C109" i="1"/>
  <c r="C123" i="1"/>
  <c r="C137" i="1"/>
  <c r="D39" i="1"/>
  <c r="E39" i="1"/>
  <c r="F39" i="1"/>
  <c r="G39" i="1"/>
  <c r="H39" i="1"/>
  <c r="I39" i="1"/>
  <c r="J39" i="1"/>
  <c r="K39" i="1"/>
  <c r="L39" i="1"/>
  <c r="C39" i="1"/>
  <c r="E11" i="1"/>
  <c r="E179" i="1" s="1"/>
  <c r="D11" i="1"/>
  <c r="D179" i="1" s="1"/>
  <c r="C11" i="1"/>
  <c r="L24" i="1"/>
  <c r="L38" i="1"/>
  <c r="L53" i="1"/>
  <c r="C53" i="1"/>
  <c r="D53" i="1"/>
  <c r="E53" i="1"/>
  <c r="F53" i="1"/>
  <c r="G53" i="1"/>
  <c r="H53" i="1"/>
  <c r="I53" i="1"/>
  <c r="J53" i="1"/>
  <c r="K53" i="1"/>
  <c r="E66" i="1"/>
  <c r="F66" i="1"/>
  <c r="G66" i="1"/>
  <c r="H66" i="1"/>
  <c r="I66" i="1"/>
  <c r="J66" i="1"/>
  <c r="K66" i="1"/>
  <c r="L66" i="1"/>
  <c r="D38" i="1"/>
  <c r="E38" i="1"/>
  <c r="F38" i="1"/>
  <c r="G38" i="1"/>
  <c r="H38" i="1"/>
  <c r="I38" i="1"/>
  <c r="J38" i="1"/>
  <c r="K38" i="1"/>
  <c r="C38" i="1"/>
  <c r="F11" i="1"/>
  <c r="F179" i="1" s="1"/>
  <c r="G11" i="1"/>
  <c r="G179" i="1" s="1"/>
  <c r="H11" i="1"/>
  <c r="H179" i="1" s="1"/>
  <c r="I11" i="1"/>
  <c r="I179" i="1" s="1"/>
  <c r="J11" i="1"/>
  <c r="J179" i="1" s="1"/>
  <c r="K11" i="1"/>
  <c r="K179" i="1" s="1"/>
  <c r="L11" i="1"/>
  <c r="L179" i="1" s="1"/>
  <c r="D24" i="1"/>
  <c r="E24" i="1"/>
  <c r="F24" i="1"/>
  <c r="G24" i="1"/>
  <c r="H24" i="1"/>
  <c r="I24" i="1"/>
  <c r="J24" i="1"/>
  <c r="K24" i="1"/>
  <c r="D146" i="1"/>
  <c r="E146" i="1"/>
  <c r="F146" i="1"/>
  <c r="G146" i="1"/>
  <c r="H146" i="1"/>
  <c r="I146" i="1"/>
  <c r="J146" i="1"/>
  <c r="K146" i="1"/>
  <c r="L146" i="1"/>
  <c r="D137" i="1"/>
  <c r="E137" i="1"/>
  <c r="F137" i="1"/>
  <c r="G137" i="1"/>
  <c r="H137" i="1"/>
  <c r="I137" i="1"/>
  <c r="J137" i="1"/>
  <c r="K137" i="1"/>
  <c r="L137" i="1"/>
  <c r="D123" i="1"/>
  <c r="E123" i="1"/>
  <c r="F123" i="1"/>
  <c r="G123" i="1"/>
  <c r="H123" i="1"/>
  <c r="I123" i="1"/>
  <c r="J123" i="1"/>
  <c r="K123" i="1"/>
  <c r="L123" i="1"/>
  <c r="D109" i="1"/>
  <c r="E109" i="1"/>
  <c r="F109" i="1"/>
  <c r="G109" i="1"/>
  <c r="H109" i="1"/>
  <c r="I109" i="1"/>
  <c r="J109" i="1"/>
  <c r="K109" i="1"/>
  <c r="L109" i="1"/>
  <c r="D95" i="1"/>
  <c r="E95" i="1"/>
  <c r="F95" i="1"/>
  <c r="G95" i="1"/>
  <c r="H95" i="1"/>
  <c r="I95" i="1"/>
  <c r="J95" i="1"/>
  <c r="K95" i="1"/>
  <c r="L95" i="1"/>
  <c r="D81" i="1"/>
  <c r="E81" i="1"/>
  <c r="F81" i="1"/>
  <c r="F82" i="1" s="1"/>
  <c r="F83" i="1" s="1"/>
  <c r="G81" i="1"/>
  <c r="H81" i="1"/>
  <c r="I81" i="1"/>
  <c r="J81" i="1"/>
  <c r="K81" i="1"/>
  <c r="L81" i="1"/>
  <c r="D67" i="1"/>
  <c r="E67" i="1"/>
  <c r="F67" i="1"/>
  <c r="G67" i="1"/>
  <c r="H67" i="1"/>
  <c r="I67" i="1"/>
  <c r="J67" i="1"/>
  <c r="K67" i="1"/>
  <c r="L67" i="1"/>
  <c r="D54" i="1"/>
  <c r="E54" i="1"/>
  <c r="F54" i="1"/>
  <c r="G54" i="1"/>
  <c r="H54" i="1"/>
  <c r="I54" i="1"/>
  <c r="J54" i="1"/>
  <c r="K54" i="1"/>
  <c r="L54" i="1"/>
  <c r="C54" i="1"/>
  <c r="D25" i="1"/>
  <c r="E25" i="1"/>
  <c r="F25" i="1"/>
  <c r="G25" i="1"/>
  <c r="H25" i="1"/>
  <c r="I25" i="1"/>
  <c r="J25" i="1"/>
  <c r="K25" i="1"/>
  <c r="L25" i="1"/>
  <c r="L5" i="1" l="1"/>
  <c r="L7" i="1" s="1"/>
  <c r="C179" i="1"/>
  <c r="N11" i="1"/>
  <c r="G5" i="1"/>
  <c r="G7" i="1" s="1"/>
  <c r="I5" i="1"/>
  <c r="I7" i="1" s="1"/>
  <c r="F5" i="1"/>
  <c r="F7" i="1" s="1"/>
  <c r="E5" i="1"/>
  <c r="E7" i="1" s="1"/>
  <c r="C5" i="1"/>
  <c r="C7" i="1" s="1"/>
  <c r="H5" i="1"/>
  <c r="H7" i="1" s="1"/>
  <c r="D5" i="1"/>
  <c r="D7" i="1" s="1"/>
  <c r="J5" i="1"/>
  <c r="J7" i="1" s="1"/>
  <c r="K5" i="1"/>
  <c r="K7" i="1" s="1"/>
  <c r="E40" i="1"/>
  <c r="E161" i="1" s="1"/>
  <c r="H40" i="1"/>
  <c r="H161" i="1" s="1"/>
  <c r="G96" i="1"/>
  <c r="G97" i="1" s="1"/>
  <c r="J82" i="1"/>
  <c r="J167" i="1" s="1"/>
  <c r="L110" i="1"/>
  <c r="D110" i="1"/>
  <c r="D111" i="1" s="1"/>
  <c r="F124" i="1"/>
  <c r="F125" i="1" s="1"/>
  <c r="F138" i="1"/>
  <c r="F139" i="1" s="1"/>
  <c r="H147" i="1"/>
  <c r="C124" i="1"/>
  <c r="C125" i="1" s="1"/>
  <c r="E124" i="1"/>
  <c r="G147" i="1"/>
  <c r="G177" i="1" s="1"/>
  <c r="E82" i="1"/>
  <c r="E167" i="1" s="1"/>
  <c r="J68" i="1"/>
  <c r="J165" i="1" s="1"/>
  <c r="K82" i="1"/>
  <c r="K167" i="1" s="1"/>
  <c r="L82" i="1"/>
  <c r="L167" i="1" s="1"/>
  <c r="I82" i="1"/>
  <c r="I167" i="1" s="1"/>
  <c r="K96" i="1"/>
  <c r="K97" i="1" s="1"/>
  <c r="C110" i="1"/>
  <c r="C111" i="1" s="1"/>
  <c r="E110" i="1"/>
  <c r="E171" i="1" s="1"/>
  <c r="G124" i="1"/>
  <c r="G125" i="1" s="1"/>
  <c r="G138" i="1"/>
  <c r="G175" i="1" s="1"/>
  <c r="I147" i="1"/>
  <c r="F167" i="1"/>
  <c r="E41" i="1"/>
  <c r="L26" i="1"/>
  <c r="L159" i="1" s="1"/>
  <c r="C68" i="1"/>
  <c r="G82" i="1"/>
  <c r="C82" i="1"/>
  <c r="H82" i="1"/>
  <c r="D82" i="1"/>
  <c r="J96" i="1"/>
  <c r="L40" i="1"/>
  <c r="L161" i="1" s="1"/>
  <c r="I96" i="1"/>
  <c r="K110" i="1"/>
  <c r="E138" i="1"/>
  <c r="D26" i="1"/>
  <c r="D159" i="1" s="1"/>
  <c r="H96" i="1"/>
  <c r="J110" i="1"/>
  <c r="L124" i="1"/>
  <c r="D124" i="1"/>
  <c r="D138" i="1"/>
  <c r="F147" i="1"/>
  <c r="E26" i="1"/>
  <c r="E159" i="1" s="1"/>
  <c r="G68" i="1"/>
  <c r="K124" i="1"/>
  <c r="E147" i="1"/>
  <c r="K68" i="1"/>
  <c r="F68" i="1"/>
  <c r="F96" i="1"/>
  <c r="H110" i="1"/>
  <c r="J124" i="1"/>
  <c r="K138" i="1"/>
  <c r="C147" i="1"/>
  <c r="C177" i="1" s="1"/>
  <c r="D147" i="1"/>
  <c r="I110" i="1"/>
  <c r="C138" i="1"/>
  <c r="I26" i="1"/>
  <c r="I159" i="1" s="1"/>
  <c r="E68" i="1"/>
  <c r="C96" i="1"/>
  <c r="E96" i="1"/>
  <c r="G110" i="1"/>
  <c r="I124" i="1"/>
  <c r="J138" i="1"/>
  <c r="L147" i="1"/>
  <c r="K147" i="1"/>
  <c r="K55" i="1"/>
  <c r="M11" i="1"/>
  <c r="L138" i="1"/>
  <c r="I68" i="1"/>
  <c r="H26" i="1"/>
  <c r="H159" i="1" s="1"/>
  <c r="L68" i="1"/>
  <c r="D68" i="1"/>
  <c r="L96" i="1"/>
  <c r="D96" i="1"/>
  <c r="F110" i="1"/>
  <c r="H124" i="1"/>
  <c r="I138" i="1"/>
  <c r="J147" i="1"/>
  <c r="H138" i="1"/>
  <c r="H68" i="1"/>
  <c r="G26" i="1"/>
  <c r="G159" i="1" s="1"/>
  <c r="F55" i="1"/>
  <c r="F26" i="1"/>
  <c r="F159" i="1" s="1"/>
  <c r="I55" i="1"/>
  <c r="K26" i="1"/>
  <c r="K159" i="1" s="1"/>
  <c r="H55" i="1"/>
  <c r="J55" i="1"/>
  <c r="L55" i="1"/>
  <c r="D55" i="1"/>
  <c r="G55" i="1"/>
  <c r="F40" i="1"/>
  <c r="F161" i="1" s="1"/>
  <c r="C26" i="1"/>
  <c r="C159" i="1" s="1"/>
  <c r="J26" i="1"/>
  <c r="J159" i="1" s="1"/>
  <c r="K40" i="1"/>
  <c r="K161" i="1" s="1"/>
  <c r="C40" i="1"/>
  <c r="C161" i="1" s="1"/>
  <c r="G40" i="1"/>
  <c r="G161" i="1" s="1"/>
  <c r="D40" i="1"/>
  <c r="D161" i="1" s="1"/>
  <c r="C55" i="1"/>
  <c r="E55" i="1"/>
  <c r="I40" i="1"/>
  <c r="I161" i="1" s="1"/>
  <c r="J40" i="1"/>
  <c r="J161" i="1" s="1"/>
  <c r="H41" i="1" l="1"/>
  <c r="J83" i="1"/>
  <c r="N128" i="1"/>
  <c r="M144" i="1"/>
  <c r="E111" i="1"/>
  <c r="C173" i="1"/>
  <c r="F173" i="1"/>
  <c r="G148" i="1"/>
  <c r="G169" i="1"/>
  <c r="G139" i="1"/>
  <c r="L83" i="1"/>
  <c r="K83" i="1"/>
  <c r="J69" i="1"/>
  <c r="K169" i="1"/>
  <c r="N63" i="1"/>
  <c r="M50" i="1"/>
  <c r="M133" i="1"/>
  <c r="M117" i="1"/>
  <c r="M134" i="1"/>
  <c r="M44" i="1"/>
  <c r="N23" i="1"/>
  <c r="G173" i="1"/>
  <c r="N74" i="1"/>
  <c r="N100" i="1"/>
  <c r="M36" i="1"/>
  <c r="M59" i="1"/>
  <c r="N142" i="1"/>
  <c r="N104" i="1"/>
  <c r="N79" i="1"/>
  <c r="N135" i="1"/>
  <c r="N143" i="1"/>
  <c r="M63" i="1"/>
  <c r="M47" i="1"/>
  <c r="N86" i="1"/>
  <c r="N35" i="1"/>
  <c r="N21" i="1"/>
  <c r="M86" i="1"/>
  <c r="M87" i="1"/>
  <c r="M30" i="1"/>
  <c r="M76" i="1"/>
  <c r="M65" i="1"/>
  <c r="N144" i="1"/>
  <c r="M88" i="1"/>
  <c r="M135" i="1"/>
  <c r="N72" i="1"/>
  <c r="N120" i="1"/>
  <c r="N49" i="1"/>
  <c r="N59" i="1"/>
  <c r="N17" i="1"/>
  <c r="E83" i="1"/>
  <c r="M119" i="1"/>
  <c r="N77" i="1"/>
  <c r="M18" i="1"/>
  <c r="N32" i="1"/>
  <c r="M121" i="1"/>
  <c r="N22" i="1"/>
  <c r="N114" i="1"/>
  <c r="M102" i="1"/>
  <c r="N76" i="1"/>
  <c r="C171" i="1"/>
  <c r="M21" i="1"/>
  <c r="M116" i="1"/>
  <c r="M62" i="1"/>
  <c r="N91" i="1"/>
  <c r="N30" i="1"/>
  <c r="M103" i="1"/>
  <c r="M128" i="1"/>
  <c r="N132" i="1"/>
  <c r="M17" i="1"/>
  <c r="M46" i="1"/>
  <c r="N129" i="1"/>
  <c r="M104" i="1"/>
  <c r="M52" i="1"/>
  <c r="M120" i="1"/>
  <c r="N34" i="1"/>
  <c r="N118" i="1"/>
  <c r="M118" i="1"/>
  <c r="M93" i="1"/>
  <c r="N51" i="1"/>
  <c r="N45" i="1"/>
  <c r="M142" i="1"/>
  <c r="N89" i="1"/>
  <c r="M45" i="1"/>
  <c r="N102" i="1"/>
  <c r="N90" i="1"/>
  <c r="M64" i="1"/>
  <c r="M35" i="1"/>
  <c r="N121" i="1"/>
  <c r="M105" i="1"/>
  <c r="N88" i="1"/>
  <c r="M37" i="1"/>
  <c r="N64" i="1"/>
  <c r="M23" i="1"/>
  <c r="M16" i="1"/>
  <c r="N106" i="1"/>
  <c r="M129" i="1"/>
  <c r="M132" i="1"/>
  <c r="M114" i="1"/>
  <c r="M20" i="1"/>
  <c r="M22" i="1"/>
  <c r="N116" i="1"/>
  <c r="M78" i="1"/>
  <c r="N47" i="1"/>
  <c r="N130" i="1"/>
  <c r="M131" i="1"/>
  <c r="N105" i="1"/>
  <c r="M34" i="1"/>
  <c r="M72" i="1"/>
  <c r="N52" i="1"/>
  <c r="N16" i="1"/>
  <c r="J125" i="1"/>
  <c r="J173" i="1"/>
  <c r="H148" i="1"/>
  <c r="H177" i="1"/>
  <c r="C148" i="1"/>
  <c r="F175" i="1"/>
  <c r="E125" i="1"/>
  <c r="E173" i="1"/>
  <c r="M61" i="1"/>
  <c r="N151" i="1"/>
  <c r="M151" i="1"/>
  <c r="J111" i="1"/>
  <c r="J171" i="1"/>
  <c r="K56" i="1"/>
  <c r="K163" i="1"/>
  <c r="I83" i="1"/>
  <c r="K148" i="1"/>
  <c r="K177" i="1"/>
  <c r="L148" i="1"/>
  <c r="L177" i="1"/>
  <c r="I148" i="1"/>
  <c r="I177" i="1"/>
  <c r="I125" i="1"/>
  <c r="I173" i="1"/>
  <c r="I111" i="1"/>
  <c r="I171" i="1"/>
  <c r="K111" i="1"/>
  <c r="K171" i="1"/>
  <c r="D171" i="1"/>
  <c r="L111" i="1"/>
  <c r="L171" i="1"/>
  <c r="J148" i="1"/>
  <c r="J177" i="1"/>
  <c r="J56" i="1"/>
  <c r="J163" i="1"/>
  <c r="H125" i="1"/>
  <c r="H173" i="1"/>
  <c r="E97" i="1"/>
  <c r="E169" i="1"/>
  <c r="I97" i="1"/>
  <c r="I169" i="1"/>
  <c r="C97" i="1"/>
  <c r="C169" i="1"/>
  <c r="J97" i="1"/>
  <c r="J169" i="1"/>
  <c r="F97" i="1"/>
  <c r="F169" i="1"/>
  <c r="K69" i="1"/>
  <c r="K165" i="1"/>
  <c r="I69" i="1"/>
  <c r="I165" i="1"/>
  <c r="C27" i="1"/>
  <c r="L139" i="1"/>
  <c r="L175" i="1"/>
  <c r="H139" i="1"/>
  <c r="H175" i="1"/>
  <c r="J41" i="1"/>
  <c r="K139" i="1"/>
  <c r="K175" i="1"/>
  <c r="F148" i="1"/>
  <c r="F177" i="1"/>
  <c r="E148" i="1"/>
  <c r="E177" i="1"/>
  <c r="D148" i="1"/>
  <c r="D177" i="1"/>
  <c r="H97" i="1"/>
  <c r="H169" i="1"/>
  <c r="E27" i="1"/>
  <c r="D97" i="1"/>
  <c r="D169" i="1"/>
  <c r="D139" i="1"/>
  <c r="D175" i="1"/>
  <c r="E139" i="1"/>
  <c r="E175" i="1"/>
  <c r="D125" i="1"/>
  <c r="D173" i="1"/>
  <c r="F111" i="1"/>
  <c r="F171" i="1"/>
  <c r="H111" i="1"/>
  <c r="H171" i="1"/>
  <c r="G111" i="1"/>
  <c r="G171" i="1"/>
  <c r="K125" i="1"/>
  <c r="K173" i="1"/>
  <c r="H83" i="1"/>
  <c r="H167" i="1"/>
  <c r="D83" i="1"/>
  <c r="D167" i="1"/>
  <c r="I139" i="1"/>
  <c r="I175" i="1"/>
  <c r="I27" i="1"/>
  <c r="C139" i="1"/>
  <c r="C175" i="1"/>
  <c r="D69" i="1"/>
  <c r="D165" i="1"/>
  <c r="F69" i="1"/>
  <c r="F165" i="1"/>
  <c r="J139" i="1"/>
  <c r="J12" i="1" s="1"/>
  <c r="J175" i="1"/>
  <c r="L97" i="1"/>
  <c r="L169" i="1"/>
  <c r="L125" i="1"/>
  <c r="L173" i="1"/>
  <c r="C83" i="1"/>
  <c r="C167" i="1"/>
  <c r="G83" i="1"/>
  <c r="G167" i="1"/>
  <c r="D56" i="1"/>
  <c r="D163" i="1"/>
  <c r="C69" i="1"/>
  <c r="C165" i="1"/>
  <c r="L69" i="1"/>
  <c r="L165" i="1"/>
  <c r="E69" i="1"/>
  <c r="E165" i="1"/>
  <c r="H69" i="1"/>
  <c r="H165" i="1"/>
  <c r="G69" i="1"/>
  <c r="G165" i="1"/>
  <c r="E56" i="1"/>
  <c r="E163" i="1"/>
  <c r="G56" i="1"/>
  <c r="G163" i="1"/>
  <c r="H56" i="1"/>
  <c r="H163" i="1"/>
  <c r="F56" i="1"/>
  <c r="F163" i="1"/>
  <c r="I56" i="1"/>
  <c r="I163" i="1"/>
  <c r="L56" i="1"/>
  <c r="L163" i="1"/>
  <c r="C56" i="1"/>
  <c r="C163" i="1"/>
  <c r="G27" i="1"/>
  <c r="F41" i="1"/>
  <c r="D41" i="1"/>
  <c r="C41" i="1"/>
  <c r="G41" i="1"/>
  <c r="L41" i="1"/>
  <c r="I41" i="1"/>
  <c r="K41" i="1"/>
  <c r="J27" i="1"/>
  <c r="K27" i="1"/>
  <c r="H27" i="1"/>
  <c r="L27" i="1"/>
  <c r="F27" i="1"/>
  <c r="D27" i="1"/>
  <c r="M19" i="1"/>
  <c r="N61" i="1"/>
  <c r="N133" i="1"/>
  <c r="M74" i="1"/>
  <c r="M130" i="1"/>
  <c r="N62" i="1"/>
  <c r="N117" i="1"/>
  <c r="N46" i="1"/>
  <c r="N18" i="1"/>
  <c r="N75" i="1"/>
  <c r="N131" i="1"/>
  <c r="N73" i="1"/>
  <c r="M31" i="1"/>
  <c r="M89" i="1"/>
  <c r="M143" i="1"/>
  <c r="N19" i="1"/>
  <c r="N31" i="1"/>
  <c r="N93" i="1"/>
  <c r="N65" i="1"/>
  <c r="N103" i="1"/>
  <c r="M33" i="1"/>
  <c r="M91" i="1"/>
  <c r="N20" i="1"/>
  <c r="N78" i="1"/>
  <c r="N134" i="1"/>
  <c r="M48" i="1"/>
  <c r="N44" i="1"/>
  <c r="N92" i="1"/>
  <c r="M32" i="1"/>
  <c r="M79" i="1"/>
  <c r="M49" i="1"/>
  <c r="M106" i="1"/>
  <c r="M77" i="1"/>
  <c r="M75" i="1"/>
  <c r="N50" i="1"/>
  <c r="N115" i="1"/>
  <c r="M90" i="1"/>
  <c r="N107" i="1"/>
  <c r="N37" i="1"/>
  <c r="M100" i="1"/>
  <c r="N33" i="1"/>
  <c r="N87" i="1"/>
  <c r="N36" i="1"/>
  <c r="M51" i="1"/>
  <c r="N48" i="1"/>
  <c r="N101" i="1"/>
  <c r="M73" i="1"/>
  <c r="M101" i="1"/>
  <c r="M60" i="1"/>
  <c r="M115" i="1"/>
  <c r="M107" i="1"/>
  <c r="M92" i="1"/>
  <c r="N60" i="1"/>
  <c r="N119" i="1"/>
  <c r="I12" i="1" l="1"/>
  <c r="O27" i="1"/>
  <c r="E12" i="1"/>
  <c r="E13" i="1" s="1"/>
  <c r="L12" i="1"/>
  <c r="L13" i="1" s="1"/>
  <c r="F12" i="1"/>
  <c r="F13" i="1" s="1"/>
  <c r="G12" i="1"/>
  <c r="G13" i="1" s="1"/>
  <c r="C12" i="1"/>
  <c r="C13" i="1" s="1"/>
  <c r="H12" i="1"/>
  <c r="H13" i="1" s="1"/>
  <c r="D12" i="1"/>
  <c r="D13" i="1" s="1"/>
  <c r="K12" i="1"/>
  <c r="K13" i="1" s="1"/>
  <c r="M111" i="1"/>
  <c r="O111" i="1"/>
  <c r="M125" i="1"/>
  <c r="O97" i="1"/>
  <c r="N111" i="1"/>
  <c r="N148" i="1"/>
  <c r="O148" i="1"/>
  <c r="N125" i="1"/>
  <c r="I13" i="1"/>
  <c r="M139" i="1"/>
  <c r="O125" i="1"/>
  <c r="M148" i="1"/>
  <c r="N97" i="1"/>
  <c r="M97" i="1"/>
  <c r="N139" i="1"/>
  <c r="M83" i="1"/>
  <c r="O139" i="1"/>
  <c r="J13" i="1"/>
  <c r="O83" i="1"/>
  <c r="N83" i="1"/>
  <c r="O69" i="1"/>
  <c r="N69" i="1"/>
  <c r="M69" i="1"/>
  <c r="O56" i="1"/>
  <c r="N56" i="1"/>
  <c r="M56" i="1"/>
  <c r="M41" i="1"/>
  <c r="N41" i="1"/>
  <c r="O41" i="1"/>
  <c r="M27" i="1"/>
  <c r="N27" i="1"/>
</calcChain>
</file>

<file path=xl/sharedStrings.xml><?xml version="1.0" encoding="utf-8"?>
<sst xmlns="http://schemas.openxmlformats.org/spreadsheetml/2006/main" count="5091" uniqueCount="222">
  <si>
    <t>Alinor</t>
  </si>
  <si>
    <t>Sunhold</t>
  </si>
  <si>
    <t>Dusk</t>
  </si>
  <si>
    <t>Shimmerene</t>
  </si>
  <si>
    <t>Lillandril</t>
  </si>
  <si>
    <t>Havrebrume</t>
  </si>
  <si>
    <t>Primeterre</t>
  </si>
  <si>
    <t>Gardeciel</t>
  </si>
  <si>
    <t>Nourriture</t>
  </si>
  <si>
    <t>Bois</t>
  </si>
  <si>
    <t>Fer</t>
  </si>
  <si>
    <t>Pierre</t>
  </si>
  <si>
    <t>Alcool</t>
  </si>
  <si>
    <t>Mithril</t>
  </si>
  <si>
    <t>Solitude</t>
  </si>
  <si>
    <t>Markarth</t>
  </si>
  <si>
    <t>Épervine</t>
  </si>
  <si>
    <t>Faillaise</t>
  </si>
  <si>
    <t>Blancherive</t>
  </si>
  <si>
    <t>Vendeaume</t>
  </si>
  <si>
    <t>Fordhiver</t>
  </si>
  <si>
    <t>Aubétoile</t>
  </si>
  <si>
    <t>Archipel de l'Automne</t>
  </si>
  <si>
    <t>Bordeciel</t>
  </si>
  <si>
    <t>Cyrodiil</t>
  </si>
  <si>
    <t>Cité Impériale</t>
  </si>
  <si>
    <t>Bruma</t>
  </si>
  <si>
    <t>Cheydinhal</t>
  </si>
  <si>
    <t>Chorrol</t>
  </si>
  <si>
    <t>Skingrad</t>
  </si>
  <si>
    <t>Anvil</t>
  </si>
  <si>
    <t>Bravil</t>
  </si>
  <si>
    <t>Leyawiin</t>
  </si>
  <si>
    <t>Elsweyr</t>
  </si>
  <si>
    <t>Torval</t>
  </si>
  <si>
    <t>Corinthe</t>
  </si>
  <si>
    <t>Senchal</t>
  </si>
  <si>
    <t>Orcrest</t>
  </si>
  <si>
    <t>Dune</t>
  </si>
  <si>
    <t>Fort-de-Rive</t>
  </si>
  <si>
    <t>Rimmen</t>
  </si>
  <si>
    <t>Hauteroche</t>
  </si>
  <si>
    <t>Daggerfall</t>
  </si>
  <si>
    <t>Camlorn</t>
  </si>
  <si>
    <t>Sharnhelm</t>
  </si>
  <si>
    <t>Pointenord</t>
  </si>
  <si>
    <t>Refuge</t>
  </si>
  <si>
    <t>Evermor</t>
  </si>
  <si>
    <t>Farrun</t>
  </si>
  <si>
    <t>Lenclume</t>
  </si>
  <si>
    <t>Sentinelle</t>
  </si>
  <si>
    <t>Helgathe</t>
  </si>
  <si>
    <t>Gilane</t>
  </si>
  <si>
    <t>Taneth</t>
  </si>
  <si>
    <t>Rihad</t>
  </si>
  <si>
    <t>Elinhir</t>
  </si>
  <si>
    <t>Skaven</t>
  </si>
  <si>
    <t>Dragonstar</t>
  </si>
  <si>
    <t>Kvatch</t>
  </si>
  <si>
    <t>Marais Noir</t>
  </si>
  <si>
    <t>Rosenoire</t>
  </si>
  <si>
    <t>Havrelâme</t>
  </si>
  <si>
    <t>Gideon</t>
  </si>
  <si>
    <t>Fort-Tempête</t>
  </si>
  <si>
    <t>Thorn</t>
  </si>
  <si>
    <t>Helstrom</t>
  </si>
  <si>
    <t>Archon</t>
  </si>
  <si>
    <t>Lilmoth</t>
  </si>
  <si>
    <t>Morrowind</t>
  </si>
  <si>
    <t>Longsanglot</t>
  </si>
  <si>
    <t>Narsis</t>
  </si>
  <si>
    <t>Larme</t>
  </si>
  <si>
    <t>Coeurébène</t>
  </si>
  <si>
    <t>Nécrom</t>
  </si>
  <si>
    <t>Balmora</t>
  </si>
  <si>
    <t>Ald'ruhn</t>
  </si>
  <si>
    <t>Sombrejour</t>
  </si>
  <si>
    <t>Val-Boisé</t>
  </si>
  <si>
    <t>Falinesti</t>
  </si>
  <si>
    <t>Arenthia</t>
  </si>
  <si>
    <t>Silvenar</t>
  </si>
  <si>
    <t>Vieilracine</t>
  </si>
  <si>
    <t>Havre</t>
  </si>
  <si>
    <t>Pointesud</t>
  </si>
  <si>
    <t>Coeurvert</t>
  </si>
  <si>
    <t>Boisfoyer</t>
  </si>
  <si>
    <t>Solstheim</t>
  </si>
  <si>
    <t>Corberoche</t>
  </si>
  <si>
    <t>Skaal</t>
  </si>
  <si>
    <t>Thirsk</t>
  </si>
  <si>
    <t>Besoin Tamriel</t>
  </si>
  <si>
    <t>Ratio recherché</t>
  </si>
  <si>
    <t>Production recherchée</t>
  </si>
  <si>
    <t>Besoin</t>
  </si>
  <si>
    <t>Excédent en septims</t>
  </si>
  <si>
    <t>Besoin par ville</t>
  </si>
  <si>
    <t>Écart</t>
  </si>
  <si>
    <t>Tableau général de Ressouces pour Tamriel</t>
  </si>
  <si>
    <t>Ratio réel</t>
  </si>
  <si>
    <t>Prix unitaire (septims)</t>
  </si>
  <si>
    <t>Rentabilité</t>
  </si>
  <si>
    <t>Valeur totale conso/ville</t>
  </si>
  <si>
    <t>(avec impôts)</t>
  </si>
  <si>
    <t>Total production Tamriel</t>
  </si>
  <si>
    <t>Jéhanna</t>
  </si>
  <si>
    <t>Gemmes</t>
  </si>
  <si>
    <t>Production province</t>
  </si>
  <si>
    <t>Contrôle total demande</t>
  </si>
  <si>
    <t>Ratio de Dispersion</t>
  </si>
  <si>
    <t>Contrôle</t>
  </si>
  <si>
    <t>Dispersion</t>
  </si>
  <si>
    <t>Import</t>
  </si>
  <si>
    <t>Spécialité - résumé</t>
  </si>
  <si>
    <t>Primaire</t>
  </si>
  <si>
    <t>Secondaire</t>
  </si>
  <si>
    <t>Tertiaire</t>
  </si>
  <si>
    <t>Autosuffit</t>
  </si>
  <si>
    <t>Non produit</t>
  </si>
  <si>
    <t>Peu produit</t>
  </si>
  <si>
    <t>Ratio surplus / besoin</t>
  </si>
  <si>
    <t>Ressources Exportées :</t>
  </si>
  <si>
    <t>Probablement non commercialisées :</t>
  </si>
  <si>
    <t>Ressources Importées :</t>
  </si>
  <si>
    <t>Primaire :</t>
  </si>
  <si>
    <t>La ressource majeure d'un pays</t>
  </si>
  <si>
    <t>Secondaire :</t>
  </si>
  <si>
    <t>La seconde ressource la plus importante d'un pays</t>
  </si>
  <si>
    <t>Tertiaire :</t>
  </si>
  <si>
    <t>Ressource produite en lèger surplus</t>
  </si>
  <si>
    <t>La ressource est produite en autosuffisance, avec un surplus négligeable</t>
  </si>
  <si>
    <t>Peu produit :</t>
  </si>
  <si>
    <t>Ressource produite, mais en quantité insuffisante pour satisfaire le besoin du pays</t>
  </si>
  <si>
    <t>Non produit :</t>
  </si>
  <si>
    <t>Ressource pas produite qui doit être importée en totalité.</t>
  </si>
  <si>
    <t>Autosuffit :</t>
  </si>
  <si>
    <t>Conso ville</t>
  </si>
  <si>
    <t>Conso Tamriel</t>
  </si>
  <si>
    <t>Cuir</t>
  </si>
  <si>
    <t>Poterie</t>
  </si>
  <si>
    <t>Tissu</t>
  </si>
  <si>
    <t>Orsinium</t>
  </si>
  <si>
    <t>Pour calculer vos Ressources…</t>
  </si>
  <si>
    <t>Strik</t>
  </si>
  <si>
    <t>Stros M'Kai</t>
  </si>
  <si>
    <t>Vivec</t>
  </si>
  <si>
    <t>Sadrith Mora</t>
  </si>
  <si>
    <t>Dagon Fel</t>
  </si>
  <si>
    <t>Port Telvannis</t>
  </si>
  <si>
    <t>Calculateur de ressources</t>
  </si>
  <si>
    <t>Nom de votre province :</t>
  </si>
  <si>
    <t xml:space="preserve"> du nouvel an</t>
  </si>
  <si>
    <t>Mise à jour :</t>
  </si>
  <si>
    <t>Malus de productivité (%) :</t>
  </si>
  <si>
    <t>Ancien stock 31 Soirétoile</t>
  </si>
  <si>
    <t>Consommation 31 Soirétoile</t>
  </si>
  <si>
    <t>Production 1er Primétoile</t>
  </si>
  <si>
    <t>Besoin satisfait ?</t>
  </si>
  <si>
    <t>Stock 1er Primétoile</t>
  </si>
  <si>
    <t>Stock final</t>
  </si>
  <si>
    <r>
      <rPr>
        <sz val="11"/>
        <color rgb="FF008000"/>
        <rFont val="Calibri"/>
        <family val="2"/>
        <scheme val="minor"/>
      </rPr>
      <t>Surplus</t>
    </r>
    <r>
      <rPr>
        <sz val="11"/>
        <color rgb="FF0070C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/</t>
    </r>
    <r>
      <rPr>
        <sz val="11"/>
        <color rgb="FF0070C0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manque</t>
    </r>
  </si>
  <si>
    <t>Renseignez votre province…</t>
  </si>
  <si>
    <t>Conso. prévue fin d'année</t>
  </si>
  <si>
    <t>Importations Auto</t>
  </si>
  <si>
    <t>Exportations Auto</t>
  </si>
  <si>
    <t>Exportations ponctuelles</t>
  </si>
  <si>
    <t>Importations ponctuelles</t>
  </si>
  <si>
    <t>Conso</t>
  </si>
  <si>
    <t>Indice</t>
  </si>
  <si>
    <t>Province</t>
  </si>
  <si>
    <t>Production</t>
  </si>
  <si>
    <t>Calculateur de Ressouces V10.1</t>
  </si>
  <si>
    <t>Statut de</t>
  </si>
  <si>
    <t>Pénalité</t>
  </si>
  <si>
    <t>Non Possédée</t>
  </si>
  <si>
    <t>Possédée</t>
  </si>
  <si>
    <r>
      <t xml:space="preserve">la ville </t>
    </r>
    <r>
      <rPr>
        <sz val="11"/>
        <color rgb="FFFF0000"/>
        <rFont val="Calibri"/>
        <family val="2"/>
        <scheme val="minor"/>
      </rPr>
      <t>*</t>
    </r>
  </si>
  <si>
    <t>* Mettre le statut du début de l'année en cours !</t>
  </si>
  <si>
    <r>
      <t xml:space="preserve">de Siège </t>
    </r>
    <r>
      <rPr>
        <sz val="11"/>
        <color rgb="FFFF0000"/>
        <rFont val="Calibri"/>
        <family val="2"/>
        <scheme val="minor"/>
      </rPr>
      <t>*</t>
    </r>
  </si>
  <si>
    <t>5E 190</t>
  </si>
  <si>
    <t>5E 191</t>
  </si>
  <si>
    <t>5E 192</t>
  </si>
  <si>
    <t>5E 193</t>
  </si>
  <si>
    <t>5E 194</t>
  </si>
  <si>
    <t>5E 195</t>
  </si>
  <si>
    <t>5E 196</t>
  </si>
  <si>
    <t>5E 197</t>
  </si>
  <si>
    <t>5E 198</t>
  </si>
  <si>
    <t>5E 199</t>
  </si>
  <si>
    <t>5E 200</t>
  </si>
  <si>
    <t>5E 201</t>
  </si>
  <si>
    <t>5E 202</t>
  </si>
  <si>
    <t>5E 203</t>
  </si>
  <si>
    <t>5E 204</t>
  </si>
  <si>
    <t>5E 205</t>
  </si>
  <si>
    <t>5E 206</t>
  </si>
  <si>
    <t>5E 207</t>
  </si>
  <si>
    <t>5E 208</t>
  </si>
  <si>
    <t>5E 209</t>
  </si>
  <si>
    <t>5E 210</t>
  </si>
  <si>
    <t>Test villes possedées</t>
  </si>
  <si>
    <t>Villes</t>
  </si>
  <si>
    <t>En Siège</t>
  </si>
  <si>
    <t>Somme totale</t>
  </si>
  <si>
    <t>Réservé calcul</t>
  </si>
  <si>
    <t>Conso totale</t>
  </si>
  <si>
    <t>Facteur possesion</t>
  </si>
  <si>
    <t>* Compter les villes possédées et assiégées</t>
  </si>
  <si>
    <r>
      <t xml:space="preserve">Nombre de villes possèdées </t>
    </r>
    <r>
      <rPr>
        <u/>
        <sz val="11"/>
        <rFont val="Calibri"/>
        <family val="2"/>
        <scheme val="minor"/>
      </rPr>
      <t>l'année dernière</t>
    </r>
    <r>
      <rPr>
        <sz val="11"/>
        <rFont val="Calibri"/>
        <family val="2"/>
        <scheme val="minor"/>
      </rPr>
      <t xml:space="preserve"> : </t>
    </r>
    <r>
      <rPr>
        <sz val="11"/>
        <color rgb="FF0000FF"/>
        <rFont val="Calibri"/>
        <family val="2"/>
        <scheme val="minor"/>
      </rPr>
      <t>*</t>
    </r>
  </si>
  <si>
    <t>Impôts à toucher pour cette année en septims :</t>
  </si>
  <si>
    <t>5E 211</t>
  </si>
  <si>
    <t>5E 212</t>
  </si>
  <si>
    <t>5E 213</t>
  </si>
  <si>
    <t>5E 214</t>
  </si>
  <si>
    <t>Impôts</t>
  </si>
  <si>
    <t>Touchés</t>
  </si>
  <si>
    <r>
      <t>Colonies</t>
    </r>
    <r>
      <rPr>
        <b/>
        <sz val="11"/>
        <color rgb="FF008000"/>
        <rFont val="Calibri"/>
        <family val="2"/>
        <scheme val="minor"/>
      </rPr>
      <t>*</t>
    </r>
  </si>
  <si>
    <r>
      <rPr>
        <i/>
        <sz val="11"/>
        <color rgb="FF008000"/>
        <rFont val="Calibri"/>
        <family val="2"/>
        <scheme val="minor"/>
      </rPr>
      <t>*</t>
    </r>
    <r>
      <rPr>
        <i/>
        <sz val="11"/>
        <color theme="1"/>
        <rFont val="Calibri"/>
        <family val="2"/>
        <scheme val="minor"/>
      </rPr>
      <t xml:space="preserve"> La Colonie principale occupée par des Pirates ne consomme aucune ressource, et n'aura donc aucune pénalité commerciale. Seule la Colonie Principale des Pirates produira et uniquement que pour eux.</t>
    </r>
  </si>
  <si>
    <t>Colonies</t>
  </si>
  <si>
    <t>Villes &amp; Colonies</t>
  </si>
  <si>
    <t>Vassal indépendant / rebellé</t>
  </si>
  <si>
    <t>Ne modifier que les cases en jaune !!</t>
  </si>
  <si>
    <t>Mettre zéro si Pirates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</si>
</sst>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€_-;\-* #,##0.00\ _€_-;_-* &quot;-&quot;??\ _€_-;_-@_-"/>
    <numFmt numFmtId="164" formatCode="0_ ;[Red]\-0\ "/>
    <numFmt numFmtId="165" formatCode="#,##0_ ;[Red]\-#,##0\ "/>
    <numFmt numFmtId="166" formatCode="#,##0.000_ ;[Red]\-#,##0.000\ "/>
    <numFmt numFmtId="167" formatCode="#,##0.000_ ;\-#,##0.000\ "/>
    <numFmt numFmtId="168" formatCode="#,##0_ ;\-#,##0\ "/>
    <numFmt numFmtId="169" formatCode="#,##0.00_ ;[Red]\-#,##0.00\ "/>
    <numFmt numFmtId="170" formatCode="_-* #,##0\ _€_-;\-* #,##0\ _€_-;_-* &quot;-&quot;??\ _€_-;_-@_-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rgb="FF00800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0099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6600"/>
      <name val="Calibri"/>
      <family val="2"/>
      <scheme val="minor"/>
    </font>
    <font>
      <b/>
      <sz val="11"/>
      <color rgb="FFCC9900"/>
      <name val="Calibri"/>
      <family val="2"/>
      <scheme val="minor"/>
    </font>
    <font>
      <b/>
      <sz val="11"/>
      <color rgb="FF00CC00"/>
      <name val="Calibri"/>
      <family val="2"/>
      <scheme val="minor"/>
    </font>
    <font>
      <b/>
      <sz val="11"/>
      <color rgb="FF006600"/>
      <name val="Calibri"/>
      <family val="2"/>
      <scheme val="minor"/>
    </font>
    <font>
      <b/>
      <sz val="11"/>
      <color rgb="FF31869B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66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80008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1"/>
      <color rgb="FF0000FF"/>
      <name val="Calibri"/>
      <family val="2"/>
      <scheme val="minor"/>
    </font>
    <font>
      <u/>
      <sz val="11"/>
      <name val="Calibri"/>
      <family val="2"/>
      <scheme val="minor"/>
    </font>
    <font>
      <i/>
      <sz val="11"/>
      <color rgb="FF008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auto="1"/>
      </right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auto="1"/>
      </right>
      <top style="thin">
        <color theme="0" tint="-0.2499465926084170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B2B2B2"/>
      </left>
      <right style="thin">
        <color theme="0" tint="-0.499984740745262"/>
      </right>
      <top style="medium">
        <color indexed="64"/>
      </top>
      <bottom style="thin">
        <color rgb="FFB2B2B2"/>
      </bottom>
      <diagonal/>
    </border>
    <border>
      <left style="thin">
        <color theme="0" tint="-0.49998474074526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8">
    <xf numFmtId="0" fontId="0" fillId="0" borderId="0"/>
    <xf numFmtId="0" fontId="10" fillId="2" borderId="16" applyNumberFormat="0" applyAlignment="0" applyProtection="0"/>
    <xf numFmtId="0" fontId="9" fillId="3" borderId="0" applyNumberFormat="0" applyBorder="0" applyAlignment="0" applyProtection="0"/>
    <xf numFmtId="0" fontId="9" fillId="4" borderId="44" applyNumberFormat="0" applyFont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43" fontId="9" fillId="0" borderId="0" applyFont="0" applyFill="0" applyBorder="0" applyAlignment="0" applyProtection="0"/>
  </cellStyleXfs>
  <cellXfs count="168">
    <xf numFmtId="0" fontId="0" fillId="0" borderId="0" xfId="0"/>
    <xf numFmtId="0" fontId="4" fillId="0" borderId="0" xfId="0" applyFont="1"/>
    <xf numFmtId="0" fontId="5" fillId="0" borderId="0" xfId="0" applyFont="1"/>
    <xf numFmtId="0" fontId="1" fillId="0" borderId="2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9" xfId="0" applyBorder="1"/>
    <xf numFmtId="0" fontId="0" fillId="0" borderId="1" xfId="0" applyBorder="1"/>
    <xf numFmtId="0" fontId="1" fillId="0" borderId="10" xfId="0" applyFont="1" applyBorder="1"/>
    <xf numFmtId="0" fontId="3" fillId="0" borderId="6" xfId="0" applyFont="1" applyBorder="1"/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0" xfId="0" applyNumberFormat="1" applyBorder="1"/>
    <xf numFmtId="165" fontId="0" fillId="0" borderId="6" xfId="0" applyNumberFormat="1" applyBorder="1"/>
    <xf numFmtId="165" fontId="0" fillId="0" borderId="5" xfId="0" applyNumberFormat="1" applyBorder="1"/>
    <xf numFmtId="165" fontId="0" fillId="0" borderId="7" xfId="0" applyNumberFormat="1" applyBorder="1"/>
    <xf numFmtId="165" fontId="0" fillId="0" borderId="8" xfId="0" applyNumberFormat="1" applyBorder="1"/>
    <xf numFmtId="165" fontId="0" fillId="0" borderId="9" xfId="0" applyNumberFormat="1" applyBorder="1"/>
    <xf numFmtId="165" fontId="6" fillId="0" borderId="0" xfId="0" applyNumberFormat="1" applyFont="1" applyBorder="1"/>
    <xf numFmtId="165" fontId="6" fillId="0" borderId="6" xfId="0" applyNumberFormat="1" applyFont="1" applyBorder="1"/>
    <xf numFmtId="165" fontId="6" fillId="0" borderId="2" xfId="0" applyNumberFormat="1" applyFont="1" applyBorder="1"/>
    <xf numFmtId="0" fontId="7" fillId="0" borderId="11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left"/>
    </xf>
    <xf numFmtId="165" fontId="0" fillId="0" borderId="0" xfId="0" applyNumberFormat="1"/>
    <xf numFmtId="165" fontId="6" fillId="0" borderId="9" xfId="0" applyNumberFormat="1" applyFont="1" applyBorder="1"/>
    <xf numFmtId="165" fontId="6" fillId="0" borderId="1" xfId="0" applyNumberFormat="1" applyFont="1" applyBorder="1"/>
    <xf numFmtId="164" fontId="0" fillId="0" borderId="0" xfId="0" applyNumberFormat="1"/>
    <xf numFmtId="165" fontId="6" fillId="0" borderId="13" xfId="0" applyNumberFormat="1" applyFont="1" applyBorder="1"/>
    <xf numFmtId="165" fontId="6" fillId="0" borderId="4" xfId="0" applyNumberFormat="1" applyFont="1" applyBorder="1"/>
    <xf numFmtId="165" fontId="6" fillId="0" borderId="14" xfId="0" applyNumberFormat="1" applyFont="1" applyBorder="1"/>
    <xf numFmtId="165" fontId="6" fillId="0" borderId="15" xfId="0" applyNumberFormat="1" applyFont="1" applyBorder="1"/>
    <xf numFmtId="165" fontId="6" fillId="0" borderId="11" xfId="0" applyNumberFormat="1" applyFont="1" applyBorder="1"/>
    <xf numFmtId="165" fontId="0" fillId="0" borderId="17" xfId="0" applyNumberFormat="1" applyBorder="1"/>
    <xf numFmtId="166" fontId="10" fillId="2" borderId="17" xfId="1" applyNumberFormat="1" applyBorder="1"/>
    <xf numFmtId="0" fontId="0" fillId="0" borderId="0" xfId="0" applyBorder="1"/>
    <xf numFmtId="0" fontId="0" fillId="0" borderId="8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167" fontId="0" fillId="0" borderId="7" xfId="0" applyNumberFormat="1" applyBorder="1" applyAlignment="1">
      <alignment horizontal="center"/>
    </xf>
    <xf numFmtId="167" fontId="0" fillId="0" borderId="26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7" fontId="0" fillId="0" borderId="23" xfId="0" applyNumberFormat="1" applyBorder="1" applyAlignment="1">
      <alignment horizontal="center"/>
    </xf>
    <xf numFmtId="167" fontId="0" fillId="0" borderId="25" xfId="0" applyNumberFormat="1" applyBorder="1" applyAlignment="1">
      <alignment horizontal="center"/>
    </xf>
    <xf numFmtId="167" fontId="0" fillId="0" borderId="21" xfId="0" applyNumberForma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167" fontId="0" fillId="0" borderId="28" xfId="0" applyNumberFormat="1" applyBorder="1" applyAlignment="1">
      <alignment horizontal="center"/>
    </xf>
    <xf numFmtId="0" fontId="11" fillId="0" borderId="29" xfId="0" applyFont="1" applyBorder="1" applyAlignment="1">
      <alignment horizontal="center"/>
    </xf>
    <xf numFmtId="167" fontId="0" fillId="0" borderId="30" xfId="0" applyNumberFormat="1" applyBorder="1" applyAlignment="1">
      <alignment horizontal="center"/>
    </xf>
    <xf numFmtId="0" fontId="12" fillId="0" borderId="22" xfId="0" applyFont="1" applyBorder="1"/>
    <xf numFmtId="0" fontId="12" fillId="0" borderId="0" xfId="0" applyFont="1" applyBorder="1"/>
    <xf numFmtId="0" fontId="12" fillId="0" borderId="3" xfId="0" applyFont="1" applyBorder="1"/>
    <xf numFmtId="0" fontId="1" fillId="0" borderId="0" xfId="0" applyFont="1"/>
    <xf numFmtId="0" fontId="18" fillId="0" borderId="0" xfId="0" applyFont="1"/>
    <xf numFmtId="0" fontId="13" fillId="0" borderId="0" xfId="0" applyFont="1"/>
    <xf numFmtId="0" fontId="17" fillId="0" borderId="0" xfId="0" applyFont="1"/>
    <xf numFmtId="0" fontId="15" fillId="0" borderId="0" xfId="0" applyFont="1"/>
    <xf numFmtId="0" fontId="14" fillId="0" borderId="0" xfId="0" applyFont="1"/>
    <xf numFmtId="0" fontId="16" fillId="0" borderId="0" xfId="0" applyFont="1"/>
    <xf numFmtId="165" fontId="0" fillId="0" borderId="32" xfId="0" applyNumberFormat="1" applyBorder="1"/>
    <xf numFmtId="166" fontId="10" fillId="2" borderId="32" xfId="1" applyNumberFormat="1" applyBorder="1"/>
    <xf numFmtId="166" fontId="0" fillId="0" borderId="20" xfId="0" applyNumberFormat="1" applyBorder="1"/>
    <xf numFmtId="166" fontId="0" fillId="0" borderId="31" xfId="0" applyNumberFormat="1" applyBorder="1"/>
    <xf numFmtId="165" fontId="0" fillId="0" borderId="34" xfId="0" applyNumberFormat="1" applyBorder="1"/>
    <xf numFmtId="166" fontId="10" fillId="2" borderId="34" xfId="1" applyNumberFormat="1" applyBorder="1"/>
    <xf numFmtId="0" fontId="0" fillId="0" borderId="33" xfId="0" applyBorder="1"/>
    <xf numFmtId="0" fontId="0" fillId="0" borderId="31" xfId="0" applyBorder="1"/>
    <xf numFmtId="168" fontId="0" fillId="0" borderId="18" xfId="0" applyNumberFormat="1" applyBorder="1"/>
    <xf numFmtId="0" fontId="19" fillId="0" borderId="35" xfId="0" applyFont="1" applyBorder="1"/>
    <xf numFmtId="0" fontId="19" fillId="0" borderId="36" xfId="0" applyFont="1" applyBorder="1"/>
    <xf numFmtId="0" fontId="19" fillId="0" borderId="27" xfId="0" applyFont="1" applyBorder="1"/>
    <xf numFmtId="0" fontId="0" fillId="0" borderId="38" xfId="0" applyBorder="1"/>
    <xf numFmtId="0" fontId="0" fillId="0" borderId="37" xfId="0" applyBorder="1"/>
    <xf numFmtId="165" fontId="0" fillId="0" borderId="39" xfId="0" applyNumberFormat="1" applyBorder="1"/>
    <xf numFmtId="165" fontId="0" fillId="0" borderId="40" xfId="0" applyNumberFormat="1" applyBorder="1"/>
    <xf numFmtId="165" fontId="0" fillId="0" borderId="41" xfId="0" applyNumberFormat="1" applyBorder="1"/>
    <xf numFmtId="165" fontId="0" fillId="0" borderId="42" xfId="0" applyNumberFormat="1" applyBorder="1"/>
    <xf numFmtId="165" fontId="0" fillId="0" borderId="43" xfId="0" applyNumberFormat="1" applyBorder="1"/>
    <xf numFmtId="169" fontId="9" fillId="3" borderId="34" xfId="2" applyNumberFormat="1" applyBorder="1"/>
    <xf numFmtId="169" fontId="9" fillId="3" borderId="17" xfId="2" applyNumberFormat="1" applyBorder="1"/>
    <xf numFmtId="169" fontId="9" fillId="3" borderId="32" xfId="2" applyNumberFormat="1" applyBorder="1"/>
    <xf numFmtId="0" fontId="21" fillId="0" borderId="0" xfId="0" applyFont="1"/>
    <xf numFmtId="165" fontId="0" fillId="0" borderId="2" xfId="0" applyNumberFormat="1" applyBorder="1"/>
    <xf numFmtId="165" fontId="0" fillId="0" borderId="1" xfId="0" applyNumberFormat="1" applyBorder="1"/>
    <xf numFmtId="49" fontId="2" fillId="0" borderId="10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3" fillId="0" borderId="0" xfId="0" applyFont="1"/>
    <xf numFmtId="0" fontId="3" fillId="0" borderId="0" xfId="0" applyFont="1"/>
    <xf numFmtId="0" fontId="12" fillId="0" borderId="0" xfId="0" applyFont="1"/>
    <xf numFmtId="0" fontId="0" fillId="0" borderId="0" xfId="0" applyFont="1"/>
    <xf numFmtId="0" fontId="25" fillId="0" borderId="0" xfId="0" applyFont="1"/>
    <xf numFmtId="49" fontId="21" fillId="0" borderId="0" xfId="0" applyNumberFormat="1" applyFont="1"/>
    <xf numFmtId="3" fontId="1" fillId="0" borderId="10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26" fillId="0" borderId="0" xfId="0" applyFont="1"/>
    <xf numFmtId="3" fontId="9" fillId="4" borderId="45" xfId="3" applyNumberFormat="1" applyFont="1" applyBorder="1"/>
    <xf numFmtId="3" fontId="22" fillId="2" borderId="46" xfId="1" applyNumberFormat="1" applyFont="1" applyBorder="1"/>
    <xf numFmtId="3" fontId="22" fillId="2" borderId="16" xfId="1" applyNumberFormat="1" applyFont="1" applyBorder="1"/>
    <xf numFmtId="3" fontId="10" fillId="2" borderId="16" xfId="1" applyNumberFormat="1" applyBorder="1" applyAlignment="1">
      <alignment horizontal="right"/>
    </xf>
    <xf numFmtId="3" fontId="9" fillId="7" borderId="16" xfId="6" applyNumberFormat="1" applyBorder="1"/>
    <xf numFmtId="0" fontId="27" fillId="0" borderId="0" xfId="0" applyFont="1"/>
    <xf numFmtId="3" fontId="9" fillId="5" borderId="16" xfId="4" applyNumberFormat="1" applyBorder="1"/>
    <xf numFmtId="3" fontId="20" fillId="2" borderId="47" xfId="1" applyNumberFormat="1" applyFont="1" applyBorder="1"/>
    <xf numFmtId="3" fontId="9" fillId="6" borderId="48" xfId="5" applyNumberFormat="1" applyBorder="1"/>
    <xf numFmtId="165" fontId="0" fillId="0" borderId="10" xfId="0" applyNumberFormat="1" applyBorder="1"/>
    <xf numFmtId="0" fontId="28" fillId="0" borderId="0" xfId="0" applyFont="1"/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8" xfId="0" applyBorder="1" applyAlignment="1">
      <alignment horizontal="center"/>
    </xf>
    <xf numFmtId="0" fontId="19" fillId="0" borderId="27" xfId="0" applyFont="1" applyBorder="1" applyAlignment="1">
      <alignment horizontal="left"/>
    </xf>
    <xf numFmtId="0" fontId="19" fillId="0" borderId="10" xfId="0" applyFont="1" applyBorder="1"/>
    <xf numFmtId="9" fontId="0" fillId="0" borderId="0" xfId="0" applyNumberFormat="1"/>
    <xf numFmtId="9" fontId="0" fillId="8" borderId="4" xfId="0" applyNumberFormat="1" applyFill="1" applyBorder="1" applyAlignment="1">
      <alignment horizontal="center"/>
    </xf>
    <xf numFmtId="9" fontId="0" fillId="8" borderId="6" xfId="0" applyNumberFormat="1" applyFill="1" applyBorder="1" applyAlignment="1">
      <alignment horizontal="center"/>
    </xf>
    <xf numFmtId="9" fontId="0" fillId="8" borderId="9" xfId="0" applyNumberFormat="1" applyFill="1" applyBorder="1" applyAlignment="1">
      <alignment horizontal="center"/>
    </xf>
    <xf numFmtId="0" fontId="1" fillId="8" borderId="35" xfId="0" applyFont="1" applyFill="1" applyBorder="1" applyAlignment="1">
      <alignment horizontal="center"/>
    </xf>
    <xf numFmtId="0" fontId="1" fillId="8" borderId="36" xfId="0" applyFont="1" applyFill="1" applyBorder="1" applyAlignment="1">
      <alignment horizontal="center"/>
    </xf>
    <xf numFmtId="0" fontId="1" fillId="8" borderId="27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29" fillId="0" borderId="0" xfId="0" applyFont="1"/>
    <xf numFmtId="0" fontId="0" fillId="0" borderId="10" xfId="0" applyBorder="1"/>
    <xf numFmtId="0" fontId="1" fillId="8" borderId="18" xfId="0" applyFont="1" applyFill="1" applyBorder="1" applyAlignment="1">
      <alignment horizontal="center"/>
    </xf>
    <xf numFmtId="9" fontId="0" fillId="8" borderId="18" xfId="0" applyNumberFormat="1" applyFill="1" applyBorder="1" applyAlignment="1">
      <alignment horizontal="center"/>
    </xf>
    <xf numFmtId="3" fontId="9" fillId="4" borderId="50" xfId="3" applyNumberFormat="1" applyFont="1" applyBorder="1"/>
    <xf numFmtId="3" fontId="9" fillId="4" borderId="51" xfId="3" applyNumberFormat="1" applyFont="1" applyBorder="1"/>
    <xf numFmtId="49" fontId="31" fillId="0" borderId="0" xfId="0" applyNumberFormat="1" applyFont="1"/>
    <xf numFmtId="0" fontId="0" fillId="8" borderId="49" xfId="0" applyFont="1" applyFill="1" applyBorder="1" applyAlignment="1">
      <alignment horizontal="center"/>
    </xf>
    <xf numFmtId="0" fontId="0" fillId="4" borderId="49" xfId="3" applyFont="1" applyBorder="1" applyAlignment="1">
      <alignment horizontal="center"/>
    </xf>
    <xf numFmtId="9" fontId="0" fillId="9" borderId="49" xfId="0" applyNumberFormat="1" applyFill="1" applyBorder="1" applyAlignment="1">
      <alignment horizontal="center"/>
    </xf>
    <xf numFmtId="3" fontId="21" fillId="4" borderId="16" xfId="3" applyNumberFormat="1" applyFont="1" applyBorder="1"/>
    <xf numFmtId="3" fontId="6" fillId="4" borderId="16" xfId="3" applyNumberFormat="1" applyFont="1" applyBorder="1"/>
    <xf numFmtId="0" fontId="0" fillId="0" borderId="13" xfId="0" applyBorder="1"/>
    <xf numFmtId="0" fontId="0" fillId="0" borderId="57" xfId="0" applyBorder="1"/>
    <xf numFmtId="0" fontId="0" fillId="0" borderId="14" xfId="0" applyBorder="1"/>
    <xf numFmtId="0" fontId="0" fillId="0" borderId="58" xfId="0" applyBorder="1"/>
    <xf numFmtId="0" fontId="0" fillId="0" borderId="11" xfId="0" applyBorder="1"/>
    <xf numFmtId="0" fontId="0" fillId="0" borderId="12" xfId="0" applyBorder="1"/>
    <xf numFmtId="170" fontId="0" fillId="0" borderId="35" xfId="7" applyNumberFormat="1" applyFont="1" applyBorder="1"/>
    <xf numFmtId="170" fontId="0" fillId="0" borderId="36" xfId="7" applyNumberFormat="1" applyFont="1" applyBorder="1"/>
    <xf numFmtId="170" fontId="0" fillId="0" borderId="18" xfId="7" applyNumberFormat="1" applyFont="1" applyBorder="1"/>
    <xf numFmtId="3" fontId="0" fillId="9" borderId="49" xfId="0" applyNumberFormat="1" applyFill="1" applyBorder="1" applyAlignment="1">
      <alignment horizontal="center"/>
    </xf>
    <xf numFmtId="0" fontId="31" fillId="0" borderId="0" xfId="0" applyFont="1"/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12" fillId="8" borderId="52" xfId="0" applyFont="1" applyFill="1" applyBorder="1" applyAlignment="1">
      <alignment horizontal="center"/>
    </xf>
    <xf numFmtId="0" fontId="12" fillId="8" borderId="53" xfId="0" applyFont="1" applyFill="1" applyBorder="1" applyAlignment="1">
      <alignment horizontal="center"/>
    </xf>
    <xf numFmtId="0" fontId="12" fillId="8" borderId="54" xfId="0" applyFont="1" applyFill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56" xfId="0" applyFont="1" applyBorder="1" applyAlignment="1">
      <alignment horizontal="center"/>
    </xf>
    <xf numFmtId="0" fontId="24" fillId="0" borderId="55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56" xfId="0" applyFont="1" applyBorder="1" applyAlignment="1">
      <alignment horizontal="center"/>
    </xf>
  </cellXfs>
  <cellStyles count="8">
    <cellStyle name="20 % - Accent1" xfId="2" builtinId="30"/>
    <cellStyle name="40 % - Accent1" xfId="4" builtinId="31"/>
    <cellStyle name="40 % - Accent3" xfId="5" builtinId="39"/>
    <cellStyle name="40 % - Accent4" xfId="6" builtinId="43"/>
    <cellStyle name="Calcul" xfId="1" builtinId="22"/>
    <cellStyle name="Commentaire" xfId="3" builtinId="10"/>
    <cellStyle name="Milliers" xfId="7" builtinId="3"/>
    <cellStyle name="Normal" xfId="0" builtinId="0"/>
  </cellStyles>
  <dxfs count="173"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00B050"/>
      </font>
    </dxf>
    <dxf>
      <font>
        <color rgb="FFCC9900"/>
      </font>
    </dxf>
    <dxf>
      <font>
        <color rgb="FFFF6600"/>
      </font>
    </dxf>
    <dxf>
      <font>
        <color rgb="FFFF0000"/>
      </font>
    </dxf>
    <dxf>
      <font>
        <color rgb="FF006600"/>
      </font>
    </dxf>
    <dxf>
      <font>
        <color rgb="FF008000"/>
      </font>
    </dxf>
    <dxf>
      <font>
        <color rgb="FF00CC00"/>
      </font>
    </dxf>
    <dxf>
      <font>
        <color rgb="FF009900"/>
      </font>
    </dxf>
    <dxf>
      <font>
        <color rgb="FFCC9900"/>
      </font>
    </dxf>
    <dxf>
      <font>
        <color rgb="FFFF6600"/>
      </font>
    </dxf>
    <dxf>
      <font>
        <color rgb="FFFF0000"/>
      </font>
    </dxf>
    <dxf>
      <font>
        <color rgb="FF006600"/>
      </font>
    </dxf>
    <dxf>
      <font>
        <color rgb="FF008000"/>
      </font>
    </dxf>
    <dxf>
      <font>
        <color rgb="FF00CC00"/>
      </font>
    </dxf>
    <dxf>
      <font>
        <color rgb="FF009900"/>
      </font>
    </dxf>
    <dxf>
      <font>
        <color rgb="FFCC9900"/>
      </font>
    </dxf>
    <dxf>
      <font>
        <color rgb="FFFF6600"/>
      </font>
    </dxf>
    <dxf>
      <font>
        <color rgb="FFFF0000"/>
      </font>
    </dxf>
    <dxf>
      <font>
        <color rgb="FF006600"/>
      </font>
    </dxf>
    <dxf>
      <font>
        <color rgb="FF008000"/>
      </font>
    </dxf>
    <dxf>
      <font>
        <color rgb="FF00CC00"/>
      </font>
    </dxf>
    <dxf>
      <font>
        <color rgb="FF009900"/>
      </font>
    </dxf>
    <dxf>
      <font>
        <color rgb="FFCC9900"/>
      </font>
    </dxf>
    <dxf>
      <font>
        <color rgb="FFFF6600"/>
      </font>
    </dxf>
    <dxf>
      <font>
        <color rgb="FFFF0000"/>
      </font>
    </dxf>
    <dxf>
      <font>
        <color rgb="FF006600"/>
      </font>
    </dxf>
    <dxf>
      <font>
        <color rgb="FF008000"/>
      </font>
    </dxf>
    <dxf>
      <font>
        <color rgb="FF00CC00"/>
      </font>
    </dxf>
    <dxf>
      <font>
        <color rgb="FF009900"/>
      </font>
    </dxf>
    <dxf>
      <font>
        <color rgb="FFCC9900"/>
      </font>
    </dxf>
    <dxf>
      <font>
        <color rgb="FFFF6600"/>
      </font>
    </dxf>
    <dxf>
      <font>
        <color rgb="FFFF0000"/>
      </font>
    </dxf>
    <dxf>
      <font>
        <color rgb="FF006600"/>
      </font>
    </dxf>
    <dxf>
      <font>
        <color rgb="FF008000"/>
      </font>
    </dxf>
    <dxf>
      <font>
        <color rgb="FF00CC00"/>
      </font>
    </dxf>
    <dxf>
      <font>
        <color rgb="FF009900"/>
      </font>
    </dxf>
    <dxf>
      <font>
        <color rgb="FFCC9900"/>
      </font>
    </dxf>
    <dxf>
      <font>
        <color rgb="FFFF6600"/>
      </font>
    </dxf>
    <dxf>
      <font>
        <color rgb="FFFF0000"/>
      </font>
    </dxf>
    <dxf>
      <font>
        <color rgb="FF006600"/>
      </font>
    </dxf>
    <dxf>
      <font>
        <color rgb="FF008000"/>
      </font>
    </dxf>
    <dxf>
      <font>
        <color rgb="FF00CC00"/>
      </font>
    </dxf>
    <dxf>
      <font>
        <color rgb="FF009900"/>
      </font>
    </dxf>
    <dxf>
      <font>
        <color rgb="FFCC9900"/>
      </font>
    </dxf>
    <dxf>
      <font>
        <color rgb="FFFF6600"/>
      </font>
    </dxf>
    <dxf>
      <font>
        <color rgb="FFFF0000"/>
      </font>
    </dxf>
    <dxf>
      <font>
        <color rgb="FF006600"/>
      </font>
    </dxf>
    <dxf>
      <font>
        <color rgb="FF008000"/>
      </font>
    </dxf>
    <dxf>
      <font>
        <color rgb="FF00CC00"/>
      </font>
    </dxf>
    <dxf>
      <font>
        <color rgb="FF009900"/>
      </font>
    </dxf>
    <dxf>
      <font>
        <color rgb="FFCC9900"/>
      </font>
    </dxf>
    <dxf>
      <font>
        <color rgb="FFFF6600"/>
      </font>
    </dxf>
    <dxf>
      <font>
        <color rgb="FFFF0000"/>
      </font>
    </dxf>
    <dxf>
      <font>
        <color rgb="FF006600"/>
      </font>
    </dxf>
    <dxf>
      <font>
        <color rgb="FF008000"/>
      </font>
    </dxf>
    <dxf>
      <font>
        <color rgb="FF00CC00"/>
      </font>
    </dxf>
    <dxf>
      <font>
        <color rgb="FF009900"/>
      </font>
    </dxf>
    <dxf>
      <font>
        <color rgb="FFCC9900"/>
      </font>
    </dxf>
    <dxf>
      <font>
        <color rgb="FFFF6600"/>
      </font>
    </dxf>
    <dxf>
      <font>
        <color rgb="FFFF0000"/>
      </font>
    </dxf>
    <dxf>
      <font>
        <color rgb="FF006600"/>
      </font>
    </dxf>
    <dxf>
      <font>
        <color rgb="FF008000"/>
      </font>
    </dxf>
    <dxf>
      <font>
        <color rgb="FF00CC00"/>
      </font>
    </dxf>
    <dxf>
      <font>
        <color rgb="FF009900"/>
      </font>
    </dxf>
    <dxf>
      <font>
        <color rgb="FFCC9900"/>
      </font>
    </dxf>
    <dxf>
      <font>
        <color rgb="FFFF6600"/>
      </font>
    </dxf>
    <dxf>
      <font>
        <color rgb="FFFF0000"/>
      </font>
    </dxf>
    <dxf>
      <font>
        <color rgb="FF006600"/>
      </font>
    </dxf>
    <dxf>
      <font>
        <color rgb="FF008000"/>
      </font>
    </dxf>
    <dxf>
      <font>
        <color rgb="FF00CC00"/>
      </font>
    </dxf>
    <dxf>
      <font>
        <color rgb="FF009900"/>
      </font>
    </dxf>
    <dxf>
      <font>
        <color rgb="FFCC9900"/>
      </font>
    </dxf>
    <dxf>
      <font>
        <color rgb="FFFF6600"/>
      </font>
    </dxf>
    <dxf>
      <font>
        <color rgb="FFFF0000"/>
      </font>
    </dxf>
    <dxf>
      <font>
        <color rgb="FF006600"/>
      </font>
    </dxf>
    <dxf>
      <font>
        <color rgb="FF008000"/>
      </font>
    </dxf>
    <dxf>
      <font>
        <color rgb="FF00CC00"/>
      </font>
    </dxf>
    <dxf>
      <font>
        <color rgb="FF009900"/>
      </font>
    </dxf>
  </dxfs>
  <tableStyles count="0" defaultTableStyle="TableStyleMedium2" defaultPivotStyle="PivotStyleLight16"/>
  <colors>
    <mruColors>
      <color rgb="FF0000FF"/>
      <color rgb="FF008000"/>
      <color rgb="FFFFFFCC"/>
      <color rgb="FF800080"/>
      <color rgb="FF006600"/>
      <color rgb="FF31869B"/>
      <color rgb="FFCC9900"/>
      <color rgb="FF009900"/>
      <color rgb="FF00CC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1"/>
  <sheetViews>
    <sheetView zoomScaleNormal="100" workbookViewId="0">
      <selection activeCell="O1" sqref="O1"/>
    </sheetView>
  </sheetViews>
  <sheetFormatPr baseColWidth="10" defaultRowHeight="15" x14ac:dyDescent="0.25"/>
  <cols>
    <col min="1" max="1" width="15.85546875" customWidth="1"/>
    <col min="2" max="2" width="7.28515625" customWidth="1"/>
    <col min="14" max="14" width="11.42578125" customWidth="1"/>
  </cols>
  <sheetData>
    <row r="1" spans="1:15" ht="21" x14ac:dyDescent="0.35">
      <c r="A1" s="2" t="s">
        <v>97</v>
      </c>
      <c r="B1" s="1"/>
    </row>
    <row r="4" spans="1:15" x14ac:dyDescent="0.25">
      <c r="A4" s="78" t="s">
        <v>92</v>
      </c>
      <c r="B4" s="79"/>
      <c r="C4" s="80">
        <v>1425</v>
      </c>
      <c r="D4" s="81">
        <v>1425</v>
      </c>
      <c r="E4" s="81">
        <v>1425</v>
      </c>
      <c r="F4" s="81">
        <v>1425</v>
      </c>
      <c r="G4" s="81">
        <v>1341</v>
      </c>
      <c r="H4" s="81">
        <v>1341</v>
      </c>
      <c r="I4" s="81">
        <v>1341</v>
      </c>
      <c r="J4" s="81">
        <v>1341</v>
      </c>
      <c r="K4" s="81">
        <v>1267</v>
      </c>
      <c r="L4" s="82">
        <v>1267</v>
      </c>
      <c r="M4" s="28"/>
      <c r="N4" s="28"/>
    </row>
    <row r="5" spans="1:15" x14ac:dyDescent="0.25">
      <c r="A5" s="39" t="s">
        <v>103</v>
      </c>
      <c r="B5" s="72"/>
      <c r="C5" s="70">
        <f>SUM(C24,C38,C53,C66,C80,C94,C108,C122,C136,C145,C152)</f>
        <v>1360</v>
      </c>
      <c r="D5" s="70">
        <f t="shared" ref="D5:K5" si="0">SUM(D24,D38,D53,D66,D80,D94,D108,D122,D136,D145,D152)</f>
        <v>1360</v>
      </c>
      <c r="E5" s="70">
        <f t="shared" si="0"/>
        <v>1420</v>
      </c>
      <c r="F5" s="70">
        <f t="shared" si="0"/>
        <v>1360</v>
      </c>
      <c r="G5" s="70">
        <f t="shared" si="0"/>
        <v>1300</v>
      </c>
      <c r="H5" s="70">
        <f t="shared" si="0"/>
        <v>1310</v>
      </c>
      <c r="I5" s="70">
        <f t="shared" si="0"/>
        <v>1330</v>
      </c>
      <c r="J5" s="70">
        <f t="shared" si="0"/>
        <v>1330</v>
      </c>
      <c r="K5" s="70">
        <f t="shared" si="0"/>
        <v>1290</v>
      </c>
      <c r="L5" s="66">
        <f>SUM(L24,L38,L53,L66,L80,L94,L108,L122,L136,L145,L152)</f>
        <v>1290</v>
      </c>
      <c r="M5" s="28"/>
      <c r="N5" s="28"/>
    </row>
    <row r="6" spans="1:15" x14ac:dyDescent="0.25">
      <c r="A6" s="39" t="s">
        <v>91</v>
      </c>
      <c r="B6" s="72"/>
      <c r="C6" s="85">
        <v>0.8</v>
      </c>
      <c r="D6" s="86">
        <v>0.8</v>
      </c>
      <c r="E6" s="86">
        <v>0.8</v>
      </c>
      <c r="F6" s="86">
        <v>0.8</v>
      </c>
      <c r="G6" s="86">
        <v>0.85</v>
      </c>
      <c r="H6" s="86">
        <v>0.85</v>
      </c>
      <c r="I6" s="86">
        <v>0.85</v>
      </c>
      <c r="J6" s="86">
        <v>0.85</v>
      </c>
      <c r="K6" s="86">
        <v>0.9</v>
      </c>
      <c r="L6" s="87">
        <v>0.9</v>
      </c>
      <c r="M6" s="28"/>
      <c r="N6" s="28"/>
    </row>
    <row r="7" spans="1:15" x14ac:dyDescent="0.25">
      <c r="A7" s="39" t="s">
        <v>98</v>
      </c>
      <c r="B7" s="72"/>
      <c r="C7" s="71">
        <f>C8/C5</f>
        <v>0.83823529411764708</v>
      </c>
      <c r="D7" s="38">
        <f>D8/D5</f>
        <v>0.83823529411764708</v>
      </c>
      <c r="E7" s="38">
        <f t="shared" ref="E7:K7" si="1">E8/E5</f>
        <v>0.80281690140845074</v>
      </c>
      <c r="F7" s="38">
        <f t="shared" si="1"/>
        <v>0.83823529411764708</v>
      </c>
      <c r="G7" s="38">
        <f t="shared" si="1"/>
        <v>0.87692307692307692</v>
      </c>
      <c r="H7" s="38">
        <f t="shared" si="1"/>
        <v>0.87022900763358779</v>
      </c>
      <c r="I7" s="38">
        <f t="shared" si="1"/>
        <v>0.8571428571428571</v>
      </c>
      <c r="J7" s="38">
        <f t="shared" si="1"/>
        <v>0.8571428571428571</v>
      </c>
      <c r="K7" s="38">
        <f t="shared" si="1"/>
        <v>0.88372093023255816</v>
      </c>
      <c r="L7" s="67">
        <f>L8/L5</f>
        <v>0.88372093023255816</v>
      </c>
      <c r="M7" s="28"/>
      <c r="N7" s="28"/>
    </row>
    <row r="8" spans="1:15" x14ac:dyDescent="0.25">
      <c r="A8" s="39" t="s">
        <v>90</v>
      </c>
      <c r="B8" s="72"/>
      <c r="C8" s="70">
        <v>1140</v>
      </c>
      <c r="D8" s="70">
        <v>1140</v>
      </c>
      <c r="E8" s="70">
        <v>1140</v>
      </c>
      <c r="F8" s="70">
        <v>1140</v>
      </c>
      <c r="G8" s="70">
        <v>1140</v>
      </c>
      <c r="H8" s="70">
        <v>1140</v>
      </c>
      <c r="I8" s="70">
        <v>1140</v>
      </c>
      <c r="J8" s="70">
        <v>1140</v>
      </c>
      <c r="K8" s="70">
        <v>1140</v>
      </c>
      <c r="L8" s="66">
        <v>1140</v>
      </c>
      <c r="M8" s="28"/>
      <c r="N8" s="28"/>
    </row>
    <row r="9" spans="1:15" x14ac:dyDescent="0.25">
      <c r="A9" s="39" t="s">
        <v>95</v>
      </c>
      <c r="B9" s="72"/>
      <c r="C9" s="70">
        <v>15</v>
      </c>
      <c r="D9" s="37">
        <v>15</v>
      </c>
      <c r="E9" s="37">
        <v>15</v>
      </c>
      <c r="F9" s="37">
        <v>15</v>
      </c>
      <c r="G9" s="37">
        <v>15</v>
      </c>
      <c r="H9" s="37">
        <v>15</v>
      </c>
      <c r="I9" s="37">
        <v>15</v>
      </c>
      <c r="J9" s="37">
        <v>15</v>
      </c>
      <c r="K9" s="37">
        <v>15</v>
      </c>
      <c r="L9" s="66">
        <v>15</v>
      </c>
      <c r="M9" s="28"/>
      <c r="N9" s="28"/>
    </row>
    <row r="10" spans="1:15" x14ac:dyDescent="0.25">
      <c r="A10" s="39" t="s">
        <v>99</v>
      </c>
      <c r="B10" s="72"/>
      <c r="C10" s="70">
        <v>1000</v>
      </c>
      <c r="D10" s="70">
        <v>1000</v>
      </c>
      <c r="E10" s="70">
        <v>1000</v>
      </c>
      <c r="F10" s="70">
        <v>1000</v>
      </c>
      <c r="G10" s="70">
        <v>1000</v>
      </c>
      <c r="H10" s="70">
        <v>1000</v>
      </c>
      <c r="I10" s="70">
        <v>1000</v>
      </c>
      <c r="J10" s="70">
        <v>1000</v>
      </c>
      <c r="K10" s="70">
        <v>1000</v>
      </c>
      <c r="L10" s="83">
        <v>1000</v>
      </c>
      <c r="M10" s="28" t="s">
        <v>135</v>
      </c>
      <c r="N10" s="28" t="s">
        <v>136</v>
      </c>
    </row>
    <row r="11" spans="1:15" x14ac:dyDescent="0.25">
      <c r="A11" s="39" t="s">
        <v>101</v>
      </c>
      <c r="B11" s="72"/>
      <c r="C11" s="70">
        <f>C9*C10</f>
        <v>15000</v>
      </c>
      <c r="D11" s="37">
        <f>D9*D10</f>
        <v>15000</v>
      </c>
      <c r="E11" s="37">
        <f>E9*E10</f>
        <v>15000</v>
      </c>
      <c r="F11" s="37">
        <f t="shared" ref="F11:L11" si="2">F9*F10</f>
        <v>15000</v>
      </c>
      <c r="G11" s="37">
        <f t="shared" si="2"/>
        <v>15000</v>
      </c>
      <c r="H11" s="37">
        <f t="shared" si="2"/>
        <v>15000</v>
      </c>
      <c r="I11" s="37">
        <f t="shared" si="2"/>
        <v>15000</v>
      </c>
      <c r="J11" s="37">
        <f t="shared" si="2"/>
        <v>15000</v>
      </c>
      <c r="K11" s="37">
        <f t="shared" si="2"/>
        <v>15000</v>
      </c>
      <c r="L11" s="66">
        <f t="shared" si="2"/>
        <v>15000</v>
      </c>
      <c r="M11" s="28">
        <f>SUM(C11:L11)</f>
        <v>150000</v>
      </c>
      <c r="N11" s="28">
        <f>SUM(C11:L11)*76</f>
        <v>11400000</v>
      </c>
    </row>
    <row r="12" spans="1:15" x14ac:dyDescent="0.25">
      <c r="A12" s="39" t="s">
        <v>107</v>
      </c>
      <c r="B12" s="72"/>
      <c r="C12" s="17">
        <f>SUM(IF(C27&gt;0,0,C27),IF(C41&gt;0,0,C41),IF(C56&gt;0,0,C56),IF(C69&gt;0,0,C69),IF(C83&gt;0,0,C83),IF(C97&gt;0,0,C97),IF(C111&gt;0,0,C111),IF(C125&gt;0,0,C125),IF(C139&gt;0,0,C139),IF(C148&gt;0,0,C148),IF(C155&gt;0,0,C155))</f>
        <v>-445000</v>
      </c>
      <c r="D12" s="17">
        <f t="shared" ref="D12:K12" si="3">SUM(IF(D27&gt;0,0,D27),IF(D41&gt;0,0,D41),IF(D56&gt;0,0,D56),IF(D69&gt;0,0,D69),IF(D83&gt;0,0,D83),IF(D97&gt;0,0,D97),IF(D111&gt;0,0,D111),IF(D125&gt;0,0,D125),IF(D139&gt;0,0,D139),IF(D148&gt;0,0,D148),IF(D155&gt;0,0,D155))</f>
        <v>-495000</v>
      </c>
      <c r="E12" s="17">
        <f t="shared" si="3"/>
        <v>-505000</v>
      </c>
      <c r="F12" s="17">
        <f t="shared" si="3"/>
        <v>-445000</v>
      </c>
      <c r="G12" s="17">
        <f t="shared" si="3"/>
        <v>-520000</v>
      </c>
      <c r="H12" s="17">
        <f t="shared" si="3"/>
        <v>-495000</v>
      </c>
      <c r="I12" s="17">
        <f t="shared" si="3"/>
        <v>-525000</v>
      </c>
      <c r="J12" s="17">
        <f t="shared" si="3"/>
        <v>-520000</v>
      </c>
      <c r="K12" s="17">
        <f t="shared" si="3"/>
        <v>-510000</v>
      </c>
      <c r="L12" s="84">
        <f>SUM(IF(L27&gt;0,0,L27),IF(L41&gt;0,0,L41),IF(L56&gt;0,0,L56),IF(L69&gt;0,0,L69),IF(L83&gt;0,0,L83),IF(L97&gt;0,0,L97),IF(L111&gt;0,0,L111),IF(L125&gt;0,0,L125),IF(L139&gt;0,0,L139),IF(L148&gt;0,0,L148),IF(L155&gt;0,0,L155))</f>
        <v>-475000</v>
      </c>
      <c r="M12" s="28"/>
      <c r="N12" s="28"/>
    </row>
    <row r="13" spans="1:15" x14ac:dyDescent="0.25">
      <c r="A13" s="41" t="s">
        <v>108</v>
      </c>
      <c r="B13" s="73"/>
      <c r="C13" s="68">
        <f>C12/(-C11*8)</f>
        <v>3.7083333333333335</v>
      </c>
      <c r="D13" s="68">
        <f t="shared" ref="D13:K13" si="4">D12/(-D11*8)</f>
        <v>4.125</v>
      </c>
      <c r="E13" s="68">
        <f t="shared" si="4"/>
        <v>4.208333333333333</v>
      </c>
      <c r="F13" s="68">
        <f t="shared" si="4"/>
        <v>3.7083333333333335</v>
      </c>
      <c r="G13" s="68">
        <f t="shared" si="4"/>
        <v>4.333333333333333</v>
      </c>
      <c r="H13" s="68">
        <f t="shared" si="4"/>
        <v>4.125</v>
      </c>
      <c r="I13" s="68">
        <f t="shared" si="4"/>
        <v>4.375</v>
      </c>
      <c r="J13" s="68">
        <f t="shared" si="4"/>
        <v>4.333333333333333</v>
      </c>
      <c r="K13" s="68">
        <f t="shared" si="4"/>
        <v>4.25</v>
      </c>
      <c r="L13" s="69">
        <f>L12/(-L11*8)</f>
        <v>3.9583333333333335</v>
      </c>
      <c r="M13" s="28"/>
      <c r="N13" s="28"/>
    </row>
    <row r="14" spans="1:15" ht="15.75" thickBot="1" x14ac:dyDescent="0.3"/>
    <row r="15" spans="1:15" ht="15.75" thickBot="1" x14ac:dyDescent="0.3">
      <c r="A15" s="3" t="s">
        <v>22</v>
      </c>
      <c r="B15" s="9"/>
      <c r="C15" s="12" t="s">
        <v>8</v>
      </c>
      <c r="D15" s="13" t="s">
        <v>9</v>
      </c>
      <c r="E15" s="13" t="s">
        <v>10</v>
      </c>
      <c r="F15" s="13" t="s">
        <v>137</v>
      </c>
      <c r="G15" s="13" t="s">
        <v>11</v>
      </c>
      <c r="H15" s="13" t="s">
        <v>138</v>
      </c>
      <c r="I15" s="13" t="s">
        <v>139</v>
      </c>
      <c r="J15" s="13" t="s">
        <v>12</v>
      </c>
      <c r="K15" s="13" t="s">
        <v>13</v>
      </c>
      <c r="L15" s="14" t="s">
        <v>105</v>
      </c>
      <c r="M15" s="26" t="s">
        <v>100</v>
      </c>
      <c r="N15" s="27" t="s">
        <v>102</v>
      </c>
      <c r="O15" s="75" t="s">
        <v>109</v>
      </c>
    </row>
    <row r="16" spans="1:15" x14ac:dyDescent="0.25">
      <c r="A16" t="s">
        <v>0</v>
      </c>
      <c r="B16" s="6"/>
      <c r="C16" s="15"/>
      <c r="D16" s="15"/>
      <c r="E16" s="15"/>
      <c r="F16" s="15"/>
      <c r="G16" s="15"/>
      <c r="H16" s="15"/>
      <c r="I16" s="15">
        <v>90</v>
      </c>
      <c r="J16" s="15"/>
      <c r="K16" s="15"/>
      <c r="L16" s="16">
        <v>120</v>
      </c>
      <c r="M16" s="32">
        <f t="shared" ref="M16:M23" si="5">C16*C$10+D16*D$10+E16*E$10+F16*F$10+G16*G$10+H16*H$10+I16*I$10+J16*J$10+K16*K$10+L16*L$10-M$11</f>
        <v>60000</v>
      </c>
      <c r="N16" s="33">
        <f>C16*C$10+D16*D$10+E16*E$10+F16*F$10+G16*G$10+H16*H$10+I16*I$10+J16*J$10+K16*K$10+L16*L$10-M$11+60000</f>
        <v>120000</v>
      </c>
      <c r="O16" s="76" t="s">
        <v>110</v>
      </c>
    </row>
    <row r="17" spans="1:15" ht="15.75" thickBot="1" x14ac:dyDescent="0.3">
      <c r="A17" t="s">
        <v>1</v>
      </c>
      <c r="B17" s="7"/>
      <c r="C17" s="17"/>
      <c r="D17" s="17"/>
      <c r="E17" s="17"/>
      <c r="F17" s="17"/>
      <c r="G17" s="17">
        <v>30</v>
      </c>
      <c r="H17" s="17"/>
      <c r="I17" s="17"/>
      <c r="J17" s="17"/>
      <c r="K17" s="17"/>
      <c r="L17" s="18">
        <v>140</v>
      </c>
      <c r="M17" s="34">
        <f t="shared" si="5"/>
        <v>20000</v>
      </c>
      <c r="N17" s="24">
        <f t="shared" ref="N17:N23" si="6">C17*C$10+D17*D$10+E17*E$10+F17*F$10+G17*G$10+H17*H$10+I17*I$10+J17*J$10+K17*K$10+L17*L$10-M$11+30000</f>
        <v>50000</v>
      </c>
      <c r="O17" s="77" t="s">
        <v>111</v>
      </c>
    </row>
    <row r="18" spans="1:15" x14ac:dyDescent="0.25">
      <c r="A18" t="s">
        <v>2</v>
      </c>
      <c r="B18" s="7"/>
      <c r="C18" s="17">
        <v>60</v>
      </c>
      <c r="D18" s="17"/>
      <c r="E18" s="17"/>
      <c r="F18" s="17"/>
      <c r="G18" s="17"/>
      <c r="H18" s="17"/>
      <c r="I18" s="17">
        <v>110</v>
      </c>
      <c r="J18" s="17"/>
      <c r="K18" s="17"/>
      <c r="L18" s="18"/>
      <c r="M18" s="34">
        <f t="shared" si="5"/>
        <v>20000</v>
      </c>
      <c r="N18" s="24">
        <f t="shared" si="6"/>
        <v>50000</v>
      </c>
    </row>
    <row r="19" spans="1:15" x14ac:dyDescent="0.25">
      <c r="A19" t="s">
        <v>3</v>
      </c>
      <c r="B19" s="7"/>
      <c r="C19" s="17">
        <v>40</v>
      </c>
      <c r="D19" s="17"/>
      <c r="E19" s="17"/>
      <c r="F19" s="17"/>
      <c r="G19" s="17"/>
      <c r="H19" s="17"/>
      <c r="I19" s="17">
        <v>60</v>
      </c>
      <c r="J19" s="17"/>
      <c r="K19" s="17">
        <v>70</v>
      </c>
      <c r="L19" s="18"/>
      <c r="M19" s="34">
        <f t="shared" si="5"/>
        <v>20000</v>
      </c>
      <c r="N19" s="24">
        <f t="shared" si="6"/>
        <v>50000</v>
      </c>
    </row>
    <row r="20" spans="1:15" x14ac:dyDescent="0.25">
      <c r="A20" t="s">
        <v>4</v>
      </c>
      <c r="B20" s="7"/>
      <c r="C20" s="17"/>
      <c r="D20" s="17"/>
      <c r="E20" s="17"/>
      <c r="F20" s="17"/>
      <c r="G20" s="17"/>
      <c r="H20" s="17"/>
      <c r="I20" s="17">
        <v>80</v>
      </c>
      <c r="J20" s="17"/>
      <c r="K20" s="17"/>
      <c r="L20" s="18">
        <v>90</v>
      </c>
      <c r="M20" s="34">
        <f t="shared" si="5"/>
        <v>20000</v>
      </c>
      <c r="N20" s="24">
        <f t="shared" si="6"/>
        <v>50000</v>
      </c>
    </row>
    <row r="21" spans="1:15" x14ac:dyDescent="0.25">
      <c r="A21" t="s">
        <v>5</v>
      </c>
      <c r="B21" s="7"/>
      <c r="C21" s="17"/>
      <c r="D21" s="17"/>
      <c r="E21" s="17"/>
      <c r="F21" s="17"/>
      <c r="G21" s="17"/>
      <c r="H21" s="17"/>
      <c r="I21" s="17"/>
      <c r="J21" s="17"/>
      <c r="K21" s="17">
        <v>170</v>
      </c>
      <c r="L21" s="18"/>
      <c r="M21" s="34">
        <f t="shared" si="5"/>
        <v>20000</v>
      </c>
      <c r="N21" s="24">
        <f t="shared" si="6"/>
        <v>50000</v>
      </c>
    </row>
    <row r="22" spans="1:15" x14ac:dyDescent="0.25">
      <c r="A22" t="s">
        <v>6</v>
      </c>
      <c r="B22" s="7"/>
      <c r="C22" s="17">
        <v>40</v>
      </c>
      <c r="D22" s="17"/>
      <c r="E22" s="17"/>
      <c r="F22" s="17">
        <v>130</v>
      </c>
      <c r="G22" s="17"/>
      <c r="H22" s="17"/>
      <c r="I22" s="17"/>
      <c r="J22" s="17"/>
      <c r="K22" s="17"/>
      <c r="L22" s="18"/>
      <c r="M22" s="34">
        <f t="shared" si="5"/>
        <v>20000</v>
      </c>
      <c r="N22" s="24">
        <f t="shared" si="6"/>
        <v>50000</v>
      </c>
    </row>
    <row r="23" spans="1:15" ht="15.75" thickBot="1" x14ac:dyDescent="0.3">
      <c r="A23" t="s">
        <v>7</v>
      </c>
      <c r="B23" s="7"/>
      <c r="C23" s="17"/>
      <c r="D23" s="17">
        <v>70</v>
      </c>
      <c r="E23" s="17"/>
      <c r="F23" s="17"/>
      <c r="G23" s="17"/>
      <c r="H23" s="17"/>
      <c r="I23" s="17"/>
      <c r="J23" s="17"/>
      <c r="K23" s="17"/>
      <c r="L23" s="18">
        <v>100</v>
      </c>
      <c r="M23" s="35">
        <f t="shared" si="5"/>
        <v>20000</v>
      </c>
      <c r="N23" s="29">
        <f t="shared" si="6"/>
        <v>50000</v>
      </c>
    </row>
    <row r="24" spans="1:15" x14ac:dyDescent="0.25">
      <c r="A24" s="5" t="s">
        <v>106</v>
      </c>
      <c r="B24" s="6"/>
      <c r="C24" s="15">
        <f>C16+C17+C18+C19+C20+C21+C22+C23</f>
        <v>140</v>
      </c>
      <c r="D24" s="15">
        <f t="shared" ref="D24:K24" si="7">D16+D17+D18+D19+D20+D21+D22+D23</f>
        <v>70</v>
      </c>
      <c r="E24" s="15">
        <f t="shared" si="7"/>
        <v>0</v>
      </c>
      <c r="F24" s="15">
        <f t="shared" si="7"/>
        <v>130</v>
      </c>
      <c r="G24" s="15">
        <f t="shared" si="7"/>
        <v>30</v>
      </c>
      <c r="H24" s="15">
        <f t="shared" si="7"/>
        <v>0</v>
      </c>
      <c r="I24" s="15">
        <f t="shared" si="7"/>
        <v>340</v>
      </c>
      <c r="J24" s="15">
        <f t="shared" si="7"/>
        <v>0</v>
      </c>
      <c r="K24" s="15">
        <f t="shared" si="7"/>
        <v>240</v>
      </c>
      <c r="L24" s="16">
        <f>L16+L17+L18+L19+L20+L21+L22+L23</f>
        <v>450</v>
      </c>
      <c r="M24" s="34"/>
      <c r="N24" s="33"/>
    </row>
    <row r="25" spans="1:15" x14ac:dyDescent="0.25">
      <c r="A25" t="s">
        <v>93</v>
      </c>
      <c r="B25" s="11">
        <v>8</v>
      </c>
      <c r="C25" s="17">
        <f>C9*$B25</f>
        <v>120</v>
      </c>
      <c r="D25" s="17">
        <f t="shared" ref="D25:L25" si="8">D9*$B25</f>
        <v>120</v>
      </c>
      <c r="E25" s="17">
        <f t="shared" si="8"/>
        <v>120</v>
      </c>
      <c r="F25" s="17">
        <f t="shared" si="8"/>
        <v>120</v>
      </c>
      <c r="G25" s="17">
        <f t="shared" si="8"/>
        <v>120</v>
      </c>
      <c r="H25" s="17">
        <f t="shared" si="8"/>
        <v>120</v>
      </c>
      <c r="I25" s="17">
        <f t="shared" si="8"/>
        <v>120</v>
      </c>
      <c r="J25" s="17">
        <f t="shared" si="8"/>
        <v>120</v>
      </c>
      <c r="K25" s="17">
        <f t="shared" si="8"/>
        <v>120</v>
      </c>
      <c r="L25" s="18">
        <f t="shared" si="8"/>
        <v>120</v>
      </c>
      <c r="M25" s="34"/>
      <c r="N25" s="24"/>
    </row>
    <row r="26" spans="1:15" ht="15.75" thickBot="1" x14ac:dyDescent="0.3">
      <c r="A26" t="s">
        <v>96</v>
      </c>
      <c r="B26" s="7"/>
      <c r="C26" s="23">
        <f>C24-C25</f>
        <v>20</v>
      </c>
      <c r="D26" s="23">
        <f t="shared" ref="D26:L26" si="9">D24-D25</f>
        <v>-50</v>
      </c>
      <c r="E26" s="23">
        <f t="shared" si="9"/>
        <v>-120</v>
      </c>
      <c r="F26" s="23">
        <f t="shared" si="9"/>
        <v>10</v>
      </c>
      <c r="G26" s="23">
        <f t="shared" si="9"/>
        <v>-90</v>
      </c>
      <c r="H26" s="23">
        <f t="shared" si="9"/>
        <v>-120</v>
      </c>
      <c r="I26" s="23">
        <f t="shared" si="9"/>
        <v>220</v>
      </c>
      <c r="J26" s="23">
        <f t="shared" si="9"/>
        <v>-120</v>
      </c>
      <c r="K26" s="23">
        <f t="shared" si="9"/>
        <v>120</v>
      </c>
      <c r="L26" s="29">
        <f t="shared" si="9"/>
        <v>330</v>
      </c>
      <c r="M26" s="34"/>
      <c r="N26" s="29"/>
    </row>
    <row r="27" spans="1:15" ht="15.75" thickBot="1" x14ac:dyDescent="0.3">
      <c r="A27" s="4" t="s">
        <v>94</v>
      </c>
      <c r="B27" s="9"/>
      <c r="C27" s="25">
        <f>C26*C10</f>
        <v>20000</v>
      </c>
      <c r="D27" s="25">
        <f t="shared" ref="D27:L27" si="10">D26*D10</f>
        <v>-50000</v>
      </c>
      <c r="E27" s="25">
        <f t="shared" si="10"/>
        <v>-120000</v>
      </c>
      <c r="F27" s="25">
        <f t="shared" si="10"/>
        <v>10000</v>
      </c>
      <c r="G27" s="25">
        <f t="shared" si="10"/>
        <v>-90000</v>
      </c>
      <c r="H27" s="25">
        <f t="shared" si="10"/>
        <v>-120000</v>
      </c>
      <c r="I27" s="25">
        <f t="shared" si="10"/>
        <v>220000</v>
      </c>
      <c r="J27" s="25">
        <f t="shared" si="10"/>
        <v>-120000</v>
      </c>
      <c r="K27" s="25">
        <f t="shared" si="10"/>
        <v>120000</v>
      </c>
      <c r="L27" s="30">
        <f t="shared" si="10"/>
        <v>330000</v>
      </c>
      <c r="M27" s="36">
        <f>SUM(C27:L27)</f>
        <v>200000</v>
      </c>
      <c r="N27" s="30">
        <f>SUM(C27:L27)+270000</f>
        <v>470000</v>
      </c>
      <c r="O27" s="74">
        <f>SUM(IF(C27&gt;0,0,C27),IF(D27&gt;0,0,D27),IF(E27&gt;0,0,E27),IF(F27&gt;0,0,F27),IF(G27&gt;0,0,G27),IF(H27&gt;0,0,H27),IF(I27&gt;0,0,I27),IF(J27&gt;0,0,J27),IF(K27&gt;0,0,K27),IF(L27&gt;0,0,L27))</f>
        <v>-500000</v>
      </c>
    </row>
    <row r="28" spans="1:15" ht="15.75" thickBot="1" x14ac:dyDescent="0.3">
      <c r="M28" s="31"/>
      <c r="N28" s="31"/>
    </row>
    <row r="29" spans="1:15" ht="15.75" thickBot="1" x14ac:dyDescent="0.3">
      <c r="A29" s="10" t="s">
        <v>23</v>
      </c>
      <c r="B29" s="4"/>
      <c r="C29" s="12" t="str">
        <f>C$15</f>
        <v>Nourriture</v>
      </c>
      <c r="D29" s="13" t="str">
        <f t="shared" ref="D29:L29" si="11">D$15</f>
        <v>Bois</v>
      </c>
      <c r="E29" s="13" t="str">
        <f t="shared" si="11"/>
        <v>Fer</v>
      </c>
      <c r="F29" s="13" t="str">
        <f t="shared" si="11"/>
        <v>Cuir</v>
      </c>
      <c r="G29" s="13" t="str">
        <f t="shared" si="11"/>
        <v>Pierre</v>
      </c>
      <c r="H29" s="13" t="str">
        <f t="shared" si="11"/>
        <v>Poterie</v>
      </c>
      <c r="I29" s="13" t="str">
        <f t="shared" si="11"/>
        <v>Tissu</v>
      </c>
      <c r="J29" s="13" t="str">
        <f t="shared" si="11"/>
        <v>Alcool</v>
      </c>
      <c r="K29" s="13" t="str">
        <f t="shared" si="11"/>
        <v>Mithril</v>
      </c>
      <c r="L29" s="14" t="str">
        <f t="shared" si="11"/>
        <v>Gemmes</v>
      </c>
      <c r="M29" s="26" t="s">
        <v>100</v>
      </c>
      <c r="N29" s="27" t="s">
        <v>102</v>
      </c>
    </row>
    <row r="30" spans="1:15" x14ac:dyDescent="0.25">
      <c r="A30" t="s">
        <v>14</v>
      </c>
      <c r="C30" s="19"/>
      <c r="D30" s="17"/>
      <c r="E30" s="17">
        <v>60</v>
      </c>
      <c r="F30" s="17"/>
      <c r="G30" s="17">
        <v>150</v>
      </c>
      <c r="H30" s="17"/>
      <c r="I30" s="17"/>
      <c r="J30" s="17"/>
      <c r="K30" s="17"/>
      <c r="L30" s="18"/>
      <c r="M30" s="32">
        <f t="shared" ref="M30:M37" si="12">C30*C$10+D30*D$10+E30*E$10+F30*F$10+G30*G$10+H30*H$10+I30*I$10+J30*J$10+K30*K$10+L30*L$10-M$11</f>
        <v>60000</v>
      </c>
      <c r="N30" s="33">
        <f>C30*C$10+D30*D$10+E30*E$10+F30*F$10+G30*G$10+H30*H$10+I30*I$10+J30*J$10+K30*K$10+L30*L$10-M$11+60000</f>
        <v>120000</v>
      </c>
    </row>
    <row r="31" spans="1:15" x14ac:dyDescent="0.25">
      <c r="A31" t="s">
        <v>15</v>
      </c>
      <c r="C31" s="19"/>
      <c r="D31" s="17"/>
      <c r="E31" s="17"/>
      <c r="F31" s="17"/>
      <c r="G31" s="17"/>
      <c r="H31" s="17"/>
      <c r="I31" s="17"/>
      <c r="J31" s="17"/>
      <c r="K31" s="17">
        <v>170</v>
      </c>
      <c r="L31" s="18"/>
      <c r="M31" s="34">
        <f t="shared" si="12"/>
        <v>20000</v>
      </c>
      <c r="N31" s="24">
        <f t="shared" ref="N31:N37" si="13">C31*C$10+D31*D$10+E31*E$10+F31*F$10+G31*G$10+H31*H$10+I31*I$10+J31*J$10+K31*K$10+L31*L$10-M$11+30000</f>
        <v>50000</v>
      </c>
    </row>
    <row r="32" spans="1:15" x14ac:dyDescent="0.25">
      <c r="A32" t="s">
        <v>16</v>
      </c>
      <c r="C32" s="19"/>
      <c r="D32" s="17">
        <v>130</v>
      </c>
      <c r="E32" s="17"/>
      <c r="F32" s="17"/>
      <c r="G32" s="17">
        <v>40</v>
      </c>
      <c r="H32" s="17"/>
      <c r="I32" s="17"/>
      <c r="J32" s="17"/>
      <c r="K32" s="17"/>
      <c r="L32" s="18"/>
      <c r="M32" s="34">
        <f t="shared" si="12"/>
        <v>20000</v>
      </c>
      <c r="N32" s="24">
        <f t="shared" si="13"/>
        <v>50000</v>
      </c>
    </row>
    <row r="33" spans="1:15" x14ac:dyDescent="0.25">
      <c r="A33" t="s">
        <v>17</v>
      </c>
      <c r="C33" s="19">
        <v>70</v>
      </c>
      <c r="D33" s="17">
        <v>60</v>
      </c>
      <c r="E33" s="17">
        <v>40</v>
      </c>
      <c r="F33" s="17"/>
      <c r="G33" s="17"/>
      <c r="H33" s="17"/>
      <c r="I33" s="17"/>
      <c r="J33" s="17"/>
      <c r="K33" s="17"/>
      <c r="L33" s="18"/>
      <c r="M33" s="34">
        <f t="shared" si="12"/>
        <v>20000</v>
      </c>
      <c r="N33" s="24">
        <f t="shared" si="13"/>
        <v>50000</v>
      </c>
    </row>
    <row r="34" spans="1:15" x14ac:dyDescent="0.25">
      <c r="A34" t="s">
        <v>18</v>
      </c>
      <c r="C34" s="19"/>
      <c r="D34" s="17">
        <v>20</v>
      </c>
      <c r="E34" s="17"/>
      <c r="F34" s="17">
        <v>100</v>
      </c>
      <c r="G34" s="17">
        <v>50</v>
      </c>
      <c r="H34" s="17"/>
      <c r="I34" s="17"/>
      <c r="J34" s="17"/>
      <c r="K34" s="17"/>
      <c r="L34" s="18"/>
      <c r="M34" s="34">
        <f t="shared" si="12"/>
        <v>20000</v>
      </c>
      <c r="N34" s="24">
        <f t="shared" si="13"/>
        <v>50000</v>
      </c>
    </row>
    <row r="35" spans="1:15" x14ac:dyDescent="0.25">
      <c r="A35" t="s">
        <v>19</v>
      </c>
      <c r="C35" s="19"/>
      <c r="D35" s="17"/>
      <c r="E35" s="17"/>
      <c r="F35" s="17"/>
      <c r="G35" s="17">
        <v>170</v>
      </c>
      <c r="H35" s="17"/>
      <c r="I35" s="17"/>
      <c r="J35" s="17"/>
      <c r="K35" s="17"/>
      <c r="L35" s="18"/>
      <c r="M35" s="34">
        <f t="shared" si="12"/>
        <v>20000</v>
      </c>
      <c r="N35" s="24">
        <f t="shared" si="13"/>
        <v>50000</v>
      </c>
    </row>
    <row r="36" spans="1:15" x14ac:dyDescent="0.25">
      <c r="A36" t="s">
        <v>20</v>
      </c>
      <c r="C36" s="19"/>
      <c r="D36" s="17"/>
      <c r="E36" s="17">
        <v>90</v>
      </c>
      <c r="F36" s="17">
        <v>40</v>
      </c>
      <c r="G36" s="17"/>
      <c r="H36" s="17"/>
      <c r="I36" s="17"/>
      <c r="J36" s="17"/>
      <c r="K36" s="17">
        <v>40</v>
      </c>
      <c r="L36" s="18"/>
      <c r="M36" s="34">
        <f t="shared" si="12"/>
        <v>20000</v>
      </c>
      <c r="N36" s="24">
        <f t="shared" si="13"/>
        <v>50000</v>
      </c>
    </row>
    <row r="37" spans="1:15" ht="15.75" thickBot="1" x14ac:dyDescent="0.3">
      <c r="A37" t="s">
        <v>21</v>
      </c>
      <c r="C37" s="19"/>
      <c r="D37" s="17"/>
      <c r="E37" s="17"/>
      <c r="F37" s="17"/>
      <c r="G37" s="17">
        <v>70</v>
      </c>
      <c r="H37" s="17"/>
      <c r="I37" s="17"/>
      <c r="J37" s="17"/>
      <c r="K37" s="17">
        <v>100</v>
      </c>
      <c r="L37" s="18"/>
      <c r="M37" s="35">
        <f t="shared" si="12"/>
        <v>20000</v>
      </c>
      <c r="N37" s="29">
        <f t="shared" si="13"/>
        <v>50000</v>
      </c>
    </row>
    <row r="38" spans="1:15" x14ac:dyDescent="0.25">
      <c r="A38" s="5" t="s">
        <v>106</v>
      </c>
      <c r="B38" s="6"/>
      <c r="C38" s="15">
        <f>C30+C31+C32+C33+C34+C35+C36+C37</f>
        <v>70</v>
      </c>
      <c r="D38" s="15">
        <f t="shared" ref="D38:K38" si="14">D30+D31+D32+D33+D34+D35+D36+D37</f>
        <v>210</v>
      </c>
      <c r="E38" s="15">
        <f t="shared" si="14"/>
        <v>190</v>
      </c>
      <c r="F38" s="15">
        <f t="shared" si="14"/>
        <v>140</v>
      </c>
      <c r="G38" s="15">
        <f t="shared" si="14"/>
        <v>480</v>
      </c>
      <c r="H38" s="15">
        <f t="shared" si="14"/>
        <v>0</v>
      </c>
      <c r="I38" s="15">
        <f t="shared" si="14"/>
        <v>0</v>
      </c>
      <c r="J38" s="15">
        <f t="shared" si="14"/>
        <v>0</v>
      </c>
      <c r="K38" s="15">
        <f t="shared" si="14"/>
        <v>310</v>
      </c>
      <c r="L38" s="15">
        <f>L30+L31+L32+L33+L34+L35+L36+L37</f>
        <v>0</v>
      </c>
      <c r="M38" s="34"/>
      <c r="N38" s="33"/>
    </row>
    <row r="39" spans="1:15" x14ac:dyDescent="0.25">
      <c r="A39" t="s">
        <v>93</v>
      </c>
      <c r="B39" s="11">
        <v>8</v>
      </c>
      <c r="C39" s="17">
        <f>C9*$B39</f>
        <v>120</v>
      </c>
      <c r="D39" s="17">
        <f t="shared" ref="D39:L39" si="15">D9*$B39</f>
        <v>120</v>
      </c>
      <c r="E39" s="17">
        <f t="shared" si="15"/>
        <v>120</v>
      </c>
      <c r="F39" s="17">
        <f t="shared" si="15"/>
        <v>120</v>
      </c>
      <c r="G39" s="17">
        <f t="shared" si="15"/>
        <v>120</v>
      </c>
      <c r="H39" s="17">
        <f t="shared" si="15"/>
        <v>120</v>
      </c>
      <c r="I39" s="17">
        <f t="shared" si="15"/>
        <v>120</v>
      </c>
      <c r="J39" s="17">
        <f t="shared" si="15"/>
        <v>120</v>
      </c>
      <c r="K39" s="17">
        <f t="shared" si="15"/>
        <v>120</v>
      </c>
      <c r="L39" s="17">
        <f t="shared" si="15"/>
        <v>120</v>
      </c>
      <c r="M39" s="34"/>
      <c r="N39" s="24"/>
    </row>
    <row r="40" spans="1:15" ht="15.75" thickBot="1" x14ac:dyDescent="0.3">
      <c r="A40" t="s">
        <v>96</v>
      </c>
      <c r="B40" s="7"/>
      <c r="C40" s="23">
        <f>C38-C39</f>
        <v>-50</v>
      </c>
      <c r="D40" s="23">
        <f t="shared" ref="D40" si="16">D38-D39</f>
        <v>90</v>
      </c>
      <c r="E40" s="23">
        <f t="shared" ref="E40" si="17">E38-E39</f>
        <v>70</v>
      </c>
      <c r="F40" s="23">
        <f t="shared" ref="F40" si="18">F38-F39</f>
        <v>20</v>
      </c>
      <c r="G40" s="23">
        <f t="shared" ref="G40" si="19">G38-G39</f>
        <v>360</v>
      </c>
      <c r="H40" s="23">
        <f t="shared" ref="H40" si="20">H38-H39</f>
        <v>-120</v>
      </c>
      <c r="I40" s="23">
        <f t="shared" ref="I40" si="21">I38-I39</f>
        <v>-120</v>
      </c>
      <c r="J40" s="23">
        <f t="shared" ref="J40" si="22">J38-J39</f>
        <v>-120</v>
      </c>
      <c r="K40" s="23">
        <f t="shared" ref="K40" si="23">K38-K39</f>
        <v>190</v>
      </c>
      <c r="L40" s="23">
        <f t="shared" ref="L40" si="24">L38-L39</f>
        <v>-120</v>
      </c>
      <c r="M40" s="34"/>
      <c r="N40" s="29"/>
    </row>
    <row r="41" spans="1:15" ht="15.75" thickBot="1" x14ac:dyDescent="0.3">
      <c r="A41" s="4" t="s">
        <v>94</v>
      </c>
      <c r="B41" s="9"/>
      <c r="C41" s="25">
        <f>C40*$C10</f>
        <v>-50000</v>
      </c>
      <c r="D41" s="25">
        <f t="shared" ref="D41:L41" si="25">D40*D10</f>
        <v>90000</v>
      </c>
      <c r="E41" s="25">
        <f t="shared" si="25"/>
        <v>70000</v>
      </c>
      <c r="F41" s="25">
        <f t="shared" si="25"/>
        <v>20000</v>
      </c>
      <c r="G41" s="25">
        <f t="shared" si="25"/>
        <v>360000</v>
      </c>
      <c r="H41" s="25">
        <f t="shared" si="25"/>
        <v>-120000</v>
      </c>
      <c r="I41" s="25">
        <f t="shared" si="25"/>
        <v>-120000</v>
      </c>
      <c r="J41" s="25">
        <f t="shared" si="25"/>
        <v>-120000</v>
      </c>
      <c r="K41" s="25">
        <f t="shared" si="25"/>
        <v>190000</v>
      </c>
      <c r="L41" s="25">
        <f t="shared" si="25"/>
        <v>-120000</v>
      </c>
      <c r="M41" s="36">
        <f>SUM(C41:L41)</f>
        <v>200000</v>
      </c>
      <c r="N41" s="30">
        <f>SUM(C41:L41)+270000</f>
        <v>470000</v>
      </c>
      <c r="O41" s="74">
        <f>SUM(IF(C41&gt;0,0,C41),IF(D41&gt;0,0,D41),IF(E41&gt;0,0,E41),IF(F41&gt;0,0,F41),IF(G41&gt;0,0,G41),IF(H41&gt;0,0,H41),IF(I41&gt;0,0,I41),IF(J41&gt;0,0,J41),IF(K41&gt;0,0,K41),IF(L41&gt;0,0,L41))</f>
        <v>-530000</v>
      </c>
    </row>
    <row r="42" spans="1:15" ht="15.75" thickBot="1" x14ac:dyDescent="0.3">
      <c r="M42" s="31"/>
      <c r="N42" s="31"/>
    </row>
    <row r="43" spans="1:15" ht="15.75" thickBot="1" x14ac:dyDescent="0.3">
      <c r="A43" s="3" t="s">
        <v>24</v>
      </c>
      <c r="B43" s="9"/>
      <c r="C43" s="12" t="str">
        <f>C$15</f>
        <v>Nourriture</v>
      </c>
      <c r="D43" s="13" t="str">
        <f t="shared" ref="D43:L43" si="26">D$15</f>
        <v>Bois</v>
      </c>
      <c r="E43" s="13" t="str">
        <f t="shared" si="26"/>
        <v>Fer</v>
      </c>
      <c r="F43" s="13" t="str">
        <f t="shared" si="26"/>
        <v>Cuir</v>
      </c>
      <c r="G43" s="13" t="str">
        <f>G$15</f>
        <v>Pierre</v>
      </c>
      <c r="H43" s="13" t="str">
        <f t="shared" si="26"/>
        <v>Poterie</v>
      </c>
      <c r="I43" s="13" t="str">
        <f t="shared" si="26"/>
        <v>Tissu</v>
      </c>
      <c r="J43" s="13" t="str">
        <f t="shared" si="26"/>
        <v>Alcool</v>
      </c>
      <c r="K43" s="13" t="str">
        <f t="shared" si="26"/>
        <v>Mithril</v>
      </c>
      <c r="L43" s="14" t="str">
        <f t="shared" si="26"/>
        <v>Gemmes</v>
      </c>
      <c r="M43" s="26" t="s">
        <v>100</v>
      </c>
      <c r="N43" s="27" t="s">
        <v>102</v>
      </c>
    </row>
    <row r="44" spans="1:15" x14ac:dyDescent="0.25">
      <c r="A44" t="s">
        <v>25</v>
      </c>
      <c r="B44" s="6"/>
      <c r="C44" s="15"/>
      <c r="D44" s="15">
        <v>20</v>
      </c>
      <c r="E44" s="15"/>
      <c r="F44" s="15"/>
      <c r="G44" s="15"/>
      <c r="H44" s="15"/>
      <c r="I44" s="15">
        <v>150</v>
      </c>
      <c r="J44" s="15"/>
      <c r="K44" s="15"/>
      <c r="L44" s="16">
        <v>40</v>
      </c>
      <c r="M44" s="32">
        <f t="shared" ref="M44:M52" si="27">C44*C$10+D44*D$10+E44*E$10+F44*F$10+G44*G$10+H44*H$10+I44*I$10+J44*J$10+K44*K$10+L44*L$10-M$11</f>
        <v>60000</v>
      </c>
      <c r="N44" s="33">
        <f>C44*C$10+D44*D$10+E44*E$10+F44*F$10+G44*G$10+H44*H$10+I44*I$10+J44*J$10+K44*K$10+L44*L$10-M$11+60000</f>
        <v>120000</v>
      </c>
    </row>
    <row r="45" spans="1:15" x14ac:dyDescent="0.25">
      <c r="A45" t="s">
        <v>27</v>
      </c>
      <c r="B45" s="7"/>
      <c r="C45" s="17"/>
      <c r="D45" s="17">
        <v>120</v>
      </c>
      <c r="E45" s="17">
        <v>50</v>
      </c>
      <c r="F45" s="17"/>
      <c r="G45" s="17"/>
      <c r="H45" s="17"/>
      <c r="I45" s="17"/>
      <c r="J45" s="17"/>
      <c r="K45" s="17"/>
      <c r="L45" s="18"/>
      <c r="M45" s="34">
        <f t="shared" si="27"/>
        <v>20000</v>
      </c>
      <c r="N45" s="24">
        <f t="shared" ref="N45:N50" si="28">C45*C$10+D45*D$10+E45*E$10+F45*F$10+G45*G$10+H45*H$10+I45*I$10+J45*J$10+K45*K$10+L45*L$10-M$11+30000</f>
        <v>50000</v>
      </c>
    </row>
    <row r="46" spans="1:15" x14ac:dyDescent="0.25">
      <c r="A46" t="s">
        <v>26</v>
      </c>
      <c r="B46" s="7"/>
      <c r="C46" s="17"/>
      <c r="D46" s="17">
        <v>60</v>
      </c>
      <c r="E46" s="17">
        <v>110</v>
      </c>
      <c r="F46" s="17"/>
      <c r="G46" s="17"/>
      <c r="H46" s="17"/>
      <c r="I46" s="17"/>
      <c r="J46" s="17"/>
      <c r="K46" s="17"/>
      <c r="L46" s="18"/>
      <c r="M46" s="34">
        <f t="shared" si="27"/>
        <v>20000</v>
      </c>
      <c r="N46" s="24">
        <f t="shared" si="28"/>
        <v>50000</v>
      </c>
    </row>
    <row r="47" spans="1:15" x14ac:dyDescent="0.25">
      <c r="A47" t="s">
        <v>28</v>
      </c>
      <c r="B47" s="7"/>
      <c r="C47" s="17"/>
      <c r="D47" s="17">
        <v>170</v>
      </c>
      <c r="E47" s="17"/>
      <c r="F47" s="17"/>
      <c r="G47" s="17"/>
      <c r="H47" s="17"/>
      <c r="I47" s="17"/>
      <c r="J47" s="17"/>
      <c r="K47" s="17"/>
      <c r="L47" s="18"/>
      <c r="M47" s="34">
        <f t="shared" si="27"/>
        <v>20000</v>
      </c>
      <c r="N47" s="24">
        <f t="shared" si="28"/>
        <v>50000</v>
      </c>
    </row>
    <row r="48" spans="1:15" x14ac:dyDescent="0.25">
      <c r="A48" t="s">
        <v>29</v>
      </c>
      <c r="B48" s="7"/>
      <c r="C48" s="17"/>
      <c r="D48" s="17"/>
      <c r="E48" s="17"/>
      <c r="F48" s="17"/>
      <c r="G48" s="17"/>
      <c r="H48" s="17"/>
      <c r="I48" s="17"/>
      <c r="J48" s="17">
        <v>170</v>
      </c>
      <c r="K48" s="17"/>
      <c r="L48" s="18"/>
      <c r="M48" s="34">
        <f t="shared" si="27"/>
        <v>20000</v>
      </c>
      <c r="N48" s="24">
        <f t="shared" si="28"/>
        <v>50000</v>
      </c>
    </row>
    <row r="49" spans="1:15" x14ac:dyDescent="0.25">
      <c r="A49" t="s">
        <v>58</v>
      </c>
      <c r="B49" s="7"/>
      <c r="C49" s="17">
        <v>170</v>
      </c>
      <c r="D49" s="17"/>
      <c r="E49" s="17"/>
      <c r="F49" s="17"/>
      <c r="G49" s="17"/>
      <c r="H49" s="17"/>
      <c r="I49" s="17"/>
      <c r="J49" s="17"/>
      <c r="K49" s="17"/>
      <c r="L49" s="18"/>
      <c r="M49" s="34">
        <f t="shared" si="27"/>
        <v>20000</v>
      </c>
      <c r="N49" s="24">
        <f>C49*C$10+D49*D$10+E49*E$10+F49*F$10+G49*G$10+H49*H$10+I49*I$10+J49*J$10+K49*K$10+L49*L$10-M$11+30000</f>
        <v>50000</v>
      </c>
    </row>
    <row r="50" spans="1:15" x14ac:dyDescent="0.25">
      <c r="A50" t="s">
        <v>30</v>
      </c>
      <c r="B50" s="7"/>
      <c r="C50" s="17">
        <v>100</v>
      </c>
      <c r="D50" s="17"/>
      <c r="E50" s="17"/>
      <c r="F50" s="17"/>
      <c r="G50" s="17"/>
      <c r="H50" s="17"/>
      <c r="I50" s="17"/>
      <c r="J50" s="17">
        <v>70</v>
      </c>
      <c r="K50" s="17"/>
      <c r="L50" s="18"/>
      <c r="M50" s="34">
        <f t="shared" si="27"/>
        <v>20000</v>
      </c>
      <c r="N50" s="24">
        <f t="shared" si="28"/>
        <v>50000</v>
      </c>
    </row>
    <row r="51" spans="1:15" x14ac:dyDescent="0.25">
      <c r="A51" t="s">
        <v>31</v>
      </c>
      <c r="B51" s="7"/>
      <c r="C51" s="17">
        <v>90</v>
      </c>
      <c r="D51" s="17"/>
      <c r="E51" s="17">
        <v>40</v>
      </c>
      <c r="F51" s="17">
        <v>40</v>
      </c>
      <c r="G51" s="17"/>
      <c r="H51" s="17"/>
      <c r="I51" s="17"/>
      <c r="J51" s="17"/>
      <c r="K51" s="17"/>
      <c r="L51" s="18"/>
      <c r="M51" s="34">
        <f t="shared" si="27"/>
        <v>20000</v>
      </c>
      <c r="N51" s="24">
        <f>C51*C$10+D51*D$10+E51*E$10+F51*F$10+G51*G$10+H51*H$10+I51*I$10+J51*J$10+K51*K$10+L51*L$10-M$11+30000</f>
        <v>50000</v>
      </c>
    </row>
    <row r="52" spans="1:15" ht="15.75" thickBot="1" x14ac:dyDescent="0.3">
      <c r="A52" t="s">
        <v>32</v>
      </c>
      <c r="B52" s="8"/>
      <c r="C52" s="20">
        <v>110</v>
      </c>
      <c r="D52" s="21"/>
      <c r="E52" s="21"/>
      <c r="F52" s="21"/>
      <c r="G52" s="21"/>
      <c r="H52" s="21">
        <v>60</v>
      </c>
      <c r="I52" s="21"/>
      <c r="J52" s="21"/>
      <c r="K52" s="21"/>
      <c r="L52" s="22"/>
      <c r="M52" s="35">
        <f t="shared" si="27"/>
        <v>20000</v>
      </c>
      <c r="N52" s="29">
        <f>C52*C$10+D52*D$10+E52*E$10+F52*F$10+G52*G$10+H52*H$10+I52*I$10+J52*J$10+K52*K$10+L52*L$10-M$11+30000</f>
        <v>50000</v>
      </c>
    </row>
    <row r="53" spans="1:15" x14ac:dyDescent="0.25">
      <c r="A53" s="5" t="s">
        <v>106</v>
      </c>
      <c r="B53" s="6"/>
      <c r="C53" s="15">
        <f>C44+C45+C46+C47+C48+C49+C50+C51+C52</f>
        <v>470</v>
      </c>
      <c r="D53" s="15">
        <f t="shared" ref="D53:K53" si="29">D44+D45+D46+D47+D48+D49+D50+D51+D52</f>
        <v>370</v>
      </c>
      <c r="E53" s="15">
        <f t="shared" si="29"/>
        <v>200</v>
      </c>
      <c r="F53" s="15">
        <f t="shared" si="29"/>
        <v>40</v>
      </c>
      <c r="G53" s="15">
        <f t="shared" si="29"/>
        <v>0</v>
      </c>
      <c r="H53" s="15">
        <f t="shared" si="29"/>
        <v>60</v>
      </c>
      <c r="I53" s="15">
        <f t="shared" si="29"/>
        <v>150</v>
      </c>
      <c r="J53" s="15">
        <f t="shared" si="29"/>
        <v>240</v>
      </c>
      <c r="K53" s="15">
        <f t="shared" si="29"/>
        <v>0</v>
      </c>
      <c r="L53" s="15">
        <f>L44+L45+L46+L47+L48+L49+L50+L51+L52</f>
        <v>40</v>
      </c>
      <c r="M53" s="34"/>
      <c r="N53" s="33"/>
    </row>
    <row r="54" spans="1:15" x14ac:dyDescent="0.25">
      <c r="A54" t="s">
        <v>93</v>
      </c>
      <c r="B54" s="11">
        <v>9</v>
      </c>
      <c r="C54" s="17">
        <f>C9*$B54</f>
        <v>135</v>
      </c>
      <c r="D54" s="17">
        <f t="shared" ref="D54:L54" si="30">D9*$B54</f>
        <v>135</v>
      </c>
      <c r="E54" s="17">
        <f t="shared" si="30"/>
        <v>135</v>
      </c>
      <c r="F54" s="17">
        <f t="shared" si="30"/>
        <v>135</v>
      </c>
      <c r="G54" s="17">
        <f t="shared" si="30"/>
        <v>135</v>
      </c>
      <c r="H54" s="17">
        <f t="shared" si="30"/>
        <v>135</v>
      </c>
      <c r="I54" s="17">
        <f t="shared" si="30"/>
        <v>135</v>
      </c>
      <c r="J54" s="17">
        <f t="shared" si="30"/>
        <v>135</v>
      </c>
      <c r="K54" s="17">
        <f t="shared" si="30"/>
        <v>135</v>
      </c>
      <c r="L54" s="18">
        <f t="shared" si="30"/>
        <v>135</v>
      </c>
      <c r="M54" s="34"/>
      <c r="N54" s="24"/>
    </row>
    <row r="55" spans="1:15" ht="15.75" thickBot="1" x14ac:dyDescent="0.3">
      <c r="A55" t="s">
        <v>96</v>
      </c>
      <c r="B55" s="8"/>
      <c r="C55" s="23">
        <f>C53-C54</f>
        <v>335</v>
      </c>
      <c r="D55" s="23">
        <f t="shared" ref="D55:L55" si="31">D53-D54</f>
        <v>235</v>
      </c>
      <c r="E55" s="23">
        <f t="shared" si="31"/>
        <v>65</v>
      </c>
      <c r="F55" s="23">
        <f t="shared" si="31"/>
        <v>-95</v>
      </c>
      <c r="G55" s="23">
        <f t="shared" si="31"/>
        <v>-135</v>
      </c>
      <c r="H55" s="23">
        <f t="shared" si="31"/>
        <v>-75</v>
      </c>
      <c r="I55" s="23">
        <f t="shared" si="31"/>
        <v>15</v>
      </c>
      <c r="J55" s="23">
        <f t="shared" si="31"/>
        <v>105</v>
      </c>
      <c r="K55" s="23">
        <f t="shared" si="31"/>
        <v>-135</v>
      </c>
      <c r="L55" s="23">
        <f t="shared" si="31"/>
        <v>-95</v>
      </c>
      <c r="M55" s="34"/>
      <c r="N55" s="29"/>
    </row>
    <row r="56" spans="1:15" ht="15.75" thickBot="1" x14ac:dyDescent="0.3">
      <c r="A56" s="4" t="s">
        <v>94</v>
      </c>
      <c r="B56" s="9"/>
      <c r="C56" s="25">
        <f>C55*C10</f>
        <v>335000</v>
      </c>
      <c r="D56" s="25">
        <f t="shared" ref="D56:K56" si="32">D55*D10</f>
        <v>235000</v>
      </c>
      <c r="E56" s="25">
        <f t="shared" si="32"/>
        <v>65000</v>
      </c>
      <c r="F56" s="25">
        <f t="shared" si="32"/>
        <v>-95000</v>
      </c>
      <c r="G56" s="25">
        <f t="shared" si="32"/>
        <v>-135000</v>
      </c>
      <c r="H56" s="25">
        <f t="shared" si="32"/>
        <v>-75000</v>
      </c>
      <c r="I56" s="25">
        <f t="shared" si="32"/>
        <v>15000</v>
      </c>
      <c r="J56" s="25">
        <f t="shared" si="32"/>
        <v>105000</v>
      </c>
      <c r="K56" s="25">
        <f t="shared" si="32"/>
        <v>-135000</v>
      </c>
      <c r="L56" s="25">
        <f>L55*L10</f>
        <v>-95000</v>
      </c>
      <c r="M56" s="36">
        <f>SUM(C56:L56)</f>
        <v>220000</v>
      </c>
      <c r="N56" s="30">
        <f>SUM(C56:L56)+300000</f>
        <v>520000</v>
      </c>
      <c r="O56" s="74">
        <f>SUM(IF(C56&gt;0,0,C56),IF(D56&gt;0,0,D56),IF(E56&gt;0,0,E56),IF(F56&gt;0,0,F56),IF(G56&gt;0,0,G56),IF(H56&gt;0,0,H56),IF(I56&gt;0,0,I56),IF(J56&gt;0,0,J56),IF(K56&gt;0,0,K56),IF(L56&gt;0,0,L56))</f>
        <v>-535000</v>
      </c>
    </row>
    <row r="57" spans="1:15" ht="15.75" thickBot="1" x14ac:dyDescent="0.3">
      <c r="M57" s="31"/>
      <c r="N57" s="31"/>
    </row>
    <row r="58" spans="1:15" ht="15.75" thickBot="1" x14ac:dyDescent="0.3">
      <c r="A58" s="3" t="s">
        <v>33</v>
      </c>
      <c r="B58" s="9"/>
      <c r="C58" s="12" t="str">
        <f>C$15</f>
        <v>Nourriture</v>
      </c>
      <c r="D58" s="13" t="str">
        <f t="shared" ref="D58:L58" si="33">D$15</f>
        <v>Bois</v>
      </c>
      <c r="E58" s="13" t="str">
        <f t="shared" si="33"/>
        <v>Fer</v>
      </c>
      <c r="F58" s="13" t="str">
        <f t="shared" si="33"/>
        <v>Cuir</v>
      </c>
      <c r="G58" s="13" t="str">
        <f t="shared" si="33"/>
        <v>Pierre</v>
      </c>
      <c r="H58" s="13" t="str">
        <f t="shared" si="33"/>
        <v>Poterie</v>
      </c>
      <c r="I58" s="13" t="str">
        <f t="shared" si="33"/>
        <v>Tissu</v>
      </c>
      <c r="J58" s="13" t="str">
        <f t="shared" si="33"/>
        <v>Alcool</v>
      </c>
      <c r="K58" s="13" t="str">
        <f t="shared" si="33"/>
        <v>Mithril</v>
      </c>
      <c r="L58" s="14" t="str">
        <f t="shared" si="33"/>
        <v>Gemmes</v>
      </c>
      <c r="M58" s="26" t="s">
        <v>100</v>
      </c>
      <c r="N58" s="27" t="s">
        <v>102</v>
      </c>
    </row>
    <row r="59" spans="1:15" x14ac:dyDescent="0.25">
      <c r="A59" t="s">
        <v>34</v>
      </c>
      <c r="B59" s="6"/>
      <c r="C59" s="15"/>
      <c r="D59" s="15">
        <v>150</v>
      </c>
      <c r="E59" s="15"/>
      <c r="F59" s="15"/>
      <c r="G59" s="15"/>
      <c r="H59" s="15"/>
      <c r="I59" s="15"/>
      <c r="J59" s="15">
        <v>60</v>
      </c>
      <c r="K59" s="15"/>
      <c r="L59" s="16"/>
      <c r="M59" s="32">
        <f t="shared" ref="M59:M65" si="34">C59*C$10+D59*D$10+E59*E$10+F59*F$10+G59*G$10+H59*H$10+I59*I$10+J59*J$10+K59*K$10+L59*L$10-M$11</f>
        <v>60000</v>
      </c>
      <c r="N59" s="33">
        <f>C59*C$10+D59*D$10+E59*E$10+F59*F$10+G59*G$10+H59*H$10+I59*I$10+J59*J$10+K59*K$10+L59*L$10-M$11+60000</f>
        <v>120000</v>
      </c>
    </row>
    <row r="60" spans="1:15" x14ac:dyDescent="0.25">
      <c r="A60" t="s">
        <v>35</v>
      </c>
      <c r="B60" s="7"/>
      <c r="C60" s="17"/>
      <c r="D60" s="17"/>
      <c r="E60" s="17"/>
      <c r="F60" s="17">
        <v>70</v>
      </c>
      <c r="G60" s="17"/>
      <c r="H60" s="17">
        <v>100</v>
      </c>
      <c r="I60" s="17"/>
      <c r="J60" s="17"/>
      <c r="K60" s="17"/>
      <c r="L60" s="18"/>
      <c r="M60" s="34">
        <f t="shared" si="34"/>
        <v>20000</v>
      </c>
      <c r="N60" s="24">
        <f t="shared" ref="N60:N64" si="35">C60*C$10+D60*D$10+E60*E$10+F60*F$10+G60*G$10+H60*H$10+I60*I$10+J60*J$10+K60*K$10+L60*L$10-M$11+30000</f>
        <v>50000</v>
      </c>
    </row>
    <row r="61" spans="1:15" x14ac:dyDescent="0.25">
      <c r="A61" t="s">
        <v>36</v>
      </c>
      <c r="B61" s="7"/>
      <c r="C61" s="17"/>
      <c r="D61" s="17"/>
      <c r="E61" s="17"/>
      <c r="F61" s="17"/>
      <c r="G61" s="17"/>
      <c r="H61" s="17"/>
      <c r="I61" s="17"/>
      <c r="J61" s="17">
        <v>170</v>
      </c>
      <c r="K61" s="17"/>
      <c r="L61" s="18"/>
      <c r="M61" s="34">
        <f>C61*C$10+D61*D$10+E61*E$10+F61*F$10+G61*G$10+H61*H$10+I61*I$10+J61*J$10+K61*K$10+L61*L$10-M$11</f>
        <v>20000</v>
      </c>
      <c r="N61" s="24">
        <f t="shared" si="35"/>
        <v>50000</v>
      </c>
    </row>
    <row r="62" spans="1:15" x14ac:dyDescent="0.25">
      <c r="A62" t="s">
        <v>37</v>
      </c>
      <c r="B62" s="7"/>
      <c r="C62" s="17"/>
      <c r="D62" s="17"/>
      <c r="E62" s="17"/>
      <c r="F62" s="17"/>
      <c r="G62" s="17"/>
      <c r="H62" s="17">
        <v>170</v>
      </c>
      <c r="I62" s="17"/>
      <c r="J62" s="17"/>
      <c r="K62" s="17"/>
      <c r="L62" s="18"/>
      <c r="M62" s="34">
        <f t="shared" si="34"/>
        <v>20000</v>
      </c>
      <c r="N62" s="24">
        <f t="shared" si="35"/>
        <v>50000</v>
      </c>
    </row>
    <row r="63" spans="1:15" x14ac:dyDescent="0.25">
      <c r="A63" t="s">
        <v>38</v>
      </c>
      <c r="B63" s="7"/>
      <c r="C63" s="17"/>
      <c r="D63" s="17"/>
      <c r="E63" s="17"/>
      <c r="F63" s="17">
        <v>130</v>
      </c>
      <c r="G63" s="17"/>
      <c r="H63" s="17"/>
      <c r="I63" s="17"/>
      <c r="J63" s="17">
        <v>40</v>
      </c>
      <c r="K63" s="17"/>
      <c r="L63" s="18"/>
      <c r="M63" s="34">
        <f t="shared" si="34"/>
        <v>20000</v>
      </c>
      <c r="N63" s="24">
        <f t="shared" si="35"/>
        <v>50000</v>
      </c>
    </row>
    <row r="64" spans="1:15" x14ac:dyDescent="0.25">
      <c r="A64" t="s">
        <v>39</v>
      </c>
      <c r="B64" s="7"/>
      <c r="C64" s="17"/>
      <c r="D64" s="17"/>
      <c r="E64" s="17"/>
      <c r="F64" s="17"/>
      <c r="G64" s="17"/>
      <c r="H64" s="17"/>
      <c r="I64" s="17"/>
      <c r="J64" s="17">
        <v>60</v>
      </c>
      <c r="K64" s="17"/>
      <c r="L64" s="18">
        <v>110</v>
      </c>
      <c r="M64" s="34">
        <f t="shared" si="34"/>
        <v>20000</v>
      </c>
      <c r="N64" s="24">
        <f t="shared" si="35"/>
        <v>50000</v>
      </c>
    </row>
    <row r="65" spans="1:15" ht="15.75" thickBot="1" x14ac:dyDescent="0.3">
      <c r="A65" t="s">
        <v>40</v>
      </c>
      <c r="B65" s="7"/>
      <c r="C65" s="17">
        <v>30</v>
      </c>
      <c r="D65" s="17"/>
      <c r="E65" s="17">
        <v>60</v>
      </c>
      <c r="F65" s="17"/>
      <c r="G65" s="17"/>
      <c r="H65" s="17"/>
      <c r="I65" s="17"/>
      <c r="J65" s="17">
        <v>80</v>
      </c>
      <c r="K65" s="17"/>
      <c r="L65" s="18"/>
      <c r="M65" s="34">
        <f t="shared" si="34"/>
        <v>20000</v>
      </c>
      <c r="N65" s="24">
        <f t="shared" ref="N65" si="36">C65*C$10+D65*D$10+E65*E$10+F65*F$10+G65*G$10+H65*H$10+I65*I$10+J65*J$10+K65*K$10+L65*L$10-M$11+30000</f>
        <v>50000</v>
      </c>
    </row>
    <row r="66" spans="1:15" x14ac:dyDescent="0.25">
      <c r="A66" s="5" t="s">
        <v>106</v>
      </c>
      <c r="B66" s="6"/>
      <c r="C66" s="15">
        <f>C59+C60+C61+C62+C63+C64+C65</f>
        <v>30</v>
      </c>
      <c r="D66" s="15">
        <f>D59+D60+D61+D62+D63+D64+D65</f>
        <v>150</v>
      </c>
      <c r="E66" s="15">
        <f t="shared" ref="E66:L66" si="37">E59+E60+E61+E62+E63+E64+E65</f>
        <v>60</v>
      </c>
      <c r="F66" s="15">
        <f t="shared" si="37"/>
        <v>200</v>
      </c>
      <c r="G66" s="15">
        <f t="shared" si="37"/>
        <v>0</v>
      </c>
      <c r="H66" s="15">
        <f t="shared" si="37"/>
        <v>270</v>
      </c>
      <c r="I66" s="15">
        <f t="shared" si="37"/>
        <v>0</v>
      </c>
      <c r="J66" s="15">
        <f t="shared" si="37"/>
        <v>410</v>
      </c>
      <c r="K66" s="15">
        <f t="shared" si="37"/>
        <v>0</v>
      </c>
      <c r="L66" s="15">
        <f t="shared" si="37"/>
        <v>110</v>
      </c>
      <c r="M66" s="32"/>
      <c r="N66" s="33"/>
    </row>
    <row r="67" spans="1:15" x14ac:dyDescent="0.25">
      <c r="A67" t="s">
        <v>93</v>
      </c>
      <c r="B67" s="11">
        <v>7</v>
      </c>
      <c r="C67" s="17">
        <f>C9*$B67</f>
        <v>105</v>
      </c>
      <c r="D67" s="17">
        <f t="shared" ref="D67:L67" si="38">D9*$B67</f>
        <v>105</v>
      </c>
      <c r="E67" s="17">
        <f t="shared" si="38"/>
        <v>105</v>
      </c>
      <c r="F67" s="17">
        <f t="shared" si="38"/>
        <v>105</v>
      </c>
      <c r="G67" s="17">
        <f t="shared" si="38"/>
        <v>105</v>
      </c>
      <c r="H67" s="17">
        <f t="shared" si="38"/>
        <v>105</v>
      </c>
      <c r="I67" s="17">
        <f t="shared" si="38"/>
        <v>105</v>
      </c>
      <c r="J67" s="17">
        <f t="shared" si="38"/>
        <v>105</v>
      </c>
      <c r="K67" s="17">
        <f t="shared" si="38"/>
        <v>105</v>
      </c>
      <c r="L67" s="18">
        <f t="shared" si="38"/>
        <v>105</v>
      </c>
      <c r="M67" s="34"/>
      <c r="N67" s="24"/>
    </row>
    <row r="68" spans="1:15" ht="15.75" thickBot="1" x14ac:dyDescent="0.3">
      <c r="A68" t="s">
        <v>96</v>
      </c>
      <c r="B68" s="7"/>
      <c r="C68" s="23">
        <f>C66-C67</f>
        <v>-75</v>
      </c>
      <c r="D68" s="23">
        <f t="shared" ref="D68:L68" si="39">D66-D67</f>
        <v>45</v>
      </c>
      <c r="E68" s="23">
        <f t="shared" si="39"/>
        <v>-45</v>
      </c>
      <c r="F68" s="23">
        <f t="shared" si="39"/>
        <v>95</v>
      </c>
      <c r="G68" s="23">
        <f t="shared" si="39"/>
        <v>-105</v>
      </c>
      <c r="H68" s="23">
        <f t="shared" si="39"/>
        <v>165</v>
      </c>
      <c r="I68" s="23">
        <f t="shared" si="39"/>
        <v>-105</v>
      </c>
      <c r="J68" s="23">
        <f t="shared" si="39"/>
        <v>305</v>
      </c>
      <c r="K68" s="23">
        <f t="shared" si="39"/>
        <v>-105</v>
      </c>
      <c r="L68" s="23">
        <f t="shared" si="39"/>
        <v>5</v>
      </c>
      <c r="M68" s="34"/>
      <c r="N68" s="29"/>
    </row>
    <row r="69" spans="1:15" ht="15.75" thickBot="1" x14ac:dyDescent="0.3">
      <c r="A69" s="4" t="s">
        <v>94</v>
      </c>
      <c r="B69" s="9"/>
      <c r="C69" s="25">
        <f>C68*C10</f>
        <v>-75000</v>
      </c>
      <c r="D69" s="25">
        <f t="shared" ref="D69:L69" si="40">D68*D10</f>
        <v>45000</v>
      </c>
      <c r="E69" s="25">
        <f t="shared" si="40"/>
        <v>-45000</v>
      </c>
      <c r="F69" s="25">
        <f t="shared" si="40"/>
        <v>95000</v>
      </c>
      <c r="G69" s="25">
        <f t="shared" si="40"/>
        <v>-105000</v>
      </c>
      <c r="H69" s="25">
        <f t="shared" si="40"/>
        <v>165000</v>
      </c>
      <c r="I69" s="25">
        <f t="shared" si="40"/>
        <v>-105000</v>
      </c>
      <c r="J69" s="25">
        <f t="shared" si="40"/>
        <v>305000</v>
      </c>
      <c r="K69" s="25">
        <f t="shared" si="40"/>
        <v>-105000</v>
      </c>
      <c r="L69" s="25">
        <f t="shared" si="40"/>
        <v>5000</v>
      </c>
      <c r="M69" s="36">
        <f>SUM(C69:L69)</f>
        <v>180000</v>
      </c>
      <c r="N69" s="30">
        <f>SUM(C69:L69)+240000</f>
        <v>420000</v>
      </c>
      <c r="O69" s="74">
        <f>SUM(IF(C69&gt;0,0,C69),IF(D69&gt;0,0,D69),IF(E69&gt;0,0,E69),IF(F69&gt;0,0,F69),IF(G69&gt;0,0,G69),IF(H69&gt;0,0,H69),IF(I69&gt;0,0,I69),IF(J69&gt;0,0,J69),IF(K69&gt;0,0,K69),IF(L69&gt;0,0,L69))</f>
        <v>-435000</v>
      </c>
    </row>
    <row r="70" spans="1:15" ht="15.75" thickBot="1" x14ac:dyDescent="0.3"/>
    <row r="71" spans="1:15" ht="15.75" thickBot="1" x14ac:dyDescent="0.3">
      <c r="A71" s="3" t="s">
        <v>41</v>
      </c>
      <c r="B71" s="9"/>
      <c r="C71" s="12" t="str">
        <f>C$15</f>
        <v>Nourriture</v>
      </c>
      <c r="D71" s="13" t="str">
        <f t="shared" ref="D71:L71" si="41">D$15</f>
        <v>Bois</v>
      </c>
      <c r="E71" s="13" t="str">
        <f t="shared" si="41"/>
        <v>Fer</v>
      </c>
      <c r="F71" s="13" t="str">
        <f t="shared" si="41"/>
        <v>Cuir</v>
      </c>
      <c r="G71" s="13" t="str">
        <f t="shared" si="41"/>
        <v>Pierre</v>
      </c>
      <c r="H71" s="13" t="str">
        <f t="shared" si="41"/>
        <v>Poterie</v>
      </c>
      <c r="I71" s="13" t="str">
        <f t="shared" si="41"/>
        <v>Tissu</v>
      </c>
      <c r="J71" s="13" t="str">
        <f t="shared" si="41"/>
        <v>Alcool</v>
      </c>
      <c r="K71" s="13" t="str">
        <f t="shared" si="41"/>
        <v>Mithril</v>
      </c>
      <c r="L71" s="14" t="str">
        <f t="shared" si="41"/>
        <v>Gemmes</v>
      </c>
      <c r="M71" s="26" t="s">
        <v>100</v>
      </c>
      <c r="N71" s="27" t="s">
        <v>102</v>
      </c>
    </row>
    <row r="72" spans="1:15" x14ac:dyDescent="0.25">
      <c r="A72" t="s">
        <v>42</v>
      </c>
      <c r="B72" s="6"/>
      <c r="C72" s="15"/>
      <c r="D72" s="15">
        <v>60</v>
      </c>
      <c r="E72" s="15"/>
      <c r="F72" s="15"/>
      <c r="G72" s="15"/>
      <c r="H72" s="15"/>
      <c r="I72" s="15"/>
      <c r="J72" s="15"/>
      <c r="K72" s="15"/>
      <c r="L72" s="16">
        <v>150</v>
      </c>
      <c r="M72" s="32">
        <f t="shared" ref="M72:M79" si="42">C72*C$10+D72*D$10+E72*E$10+F72*F$10+G72*G$10+H72*H$10+I72*I$10+J72*J$10+K72*K$10+L72*L$10-M$11</f>
        <v>60000</v>
      </c>
      <c r="N72" s="33">
        <f>C72*C$10+D72*D$10+E72*E$10+F72*F$10+G72*G$10+H72*H$10+I72*I$10+J72*J$10+K72*K$10+L72*L$10-M$11+60000</f>
        <v>120000</v>
      </c>
    </row>
    <row r="73" spans="1:15" x14ac:dyDescent="0.25">
      <c r="A73" t="s">
        <v>43</v>
      </c>
      <c r="B73" s="7"/>
      <c r="C73" s="17"/>
      <c r="D73" s="17">
        <v>70</v>
      </c>
      <c r="E73" s="17"/>
      <c r="F73" s="17"/>
      <c r="G73" s="17"/>
      <c r="H73" s="17"/>
      <c r="I73" s="17"/>
      <c r="J73" s="17"/>
      <c r="K73" s="17"/>
      <c r="L73" s="18">
        <v>100</v>
      </c>
      <c r="M73" s="34">
        <f t="shared" si="42"/>
        <v>20000</v>
      </c>
      <c r="N73" s="24">
        <f t="shared" ref="N73:N79" si="43">C73*C$10+D73*D$10+E73*E$10+F73*F$10+G73*G$10+H73*H$10+I73*I$10+J73*J$10+K73*K$10+L73*L$10-M$11+30000</f>
        <v>50000</v>
      </c>
    </row>
    <row r="74" spans="1:15" x14ac:dyDescent="0.25">
      <c r="A74" t="s">
        <v>44</v>
      </c>
      <c r="B74" s="7"/>
      <c r="C74" s="17"/>
      <c r="D74" s="17">
        <v>80</v>
      </c>
      <c r="E74" s="17">
        <v>20</v>
      </c>
      <c r="F74" s="17"/>
      <c r="G74" s="17"/>
      <c r="H74" s="17"/>
      <c r="I74" s="17"/>
      <c r="J74" s="17"/>
      <c r="K74" s="17">
        <v>70</v>
      </c>
      <c r="L74" s="18"/>
      <c r="M74" s="34">
        <f t="shared" si="42"/>
        <v>20000</v>
      </c>
      <c r="N74" s="24">
        <f t="shared" si="43"/>
        <v>50000</v>
      </c>
    </row>
    <row r="75" spans="1:15" x14ac:dyDescent="0.25">
      <c r="A75" t="s">
        <v>45</v>
      </c>
      <c r="B75" s="7"/>
      <c r="C75" s="17">
        <v>100</v>
      </c>
      <c r="D75" s="17">
        <v>70</v>
      </c>
      <c r="E75" s="17"/>
      <c r="F75" s="17"/>
      <c r="G75" s="17"/>
      <c r="H75" s="17"/>
      <c r="I75" s="17"/>
      <c r="J75" s="17"/>
      <c r="K75" s="17"/>
      <c r="L75" s="18"/>
      <c r="M75" s="34">
        <f>C75*C$10+D75*D$10+E75*E$10+F75*F$10+G75*G$10+H75*H$10+I75*I$10+J75*J$10+K75*K$10+L75*L$10-M$11</f>
        <v>20000</v>
      </c>
      <c r="N75" s="24">
        <f>C75*C$10+D75*D$10+E75*E$10+F75*F$10+G75*G$10+H75*H$10+I75*I$10+J75*J$10+K75*K$10+L75*L$10-M$11+30000</f>
        <v>50000</v>
      </c>
    </row>
    <row r="76" spans="1:15" x14ac:dyDescent="0.25">
      <c r="A76" t="s">
        <v>46</v>
      </c>
      <c r="B76" s="7"/>
      <c r="C76" s="17">
        <v>120</v>
      </c>
      <c r="D76" s="17">
        <v>50</v>
      </c>
      <c r="E76" s="17"/>
      <c r="F76" s="17"/>
      <c r="G76" s="17"/>
      <c r="H76" s="17"/>
      <c r="I76" s="17"/>
      <c r="J76" s="17"/>
      <c r="K76" s="17"/>
      <c r="L76" s="18"/>
      <c r="M76" s="34">
        <f t="shared" si="42"/>
        <v>20000</v>
      </c>
      <c r="N76" s="24">
        <f t="shared" si="43"/>
        <v>50000</v>
      </c>
    </row>
    <row r="77" spans="1:15" x14ac:dyDescent="0.25">
      <c r="A77" t="s">
        <v>47</v>
      </c>
      <c r="B77" s="7"/>
      <c r="C77" s="17"/>
      <c r="D77" s="17"/>
      <c r="E77" s="17"/>
      <c r="F77" s="17"/>
      <c r="G77" s="17">
        <v>100</v>
      </c>
      <c r="H77" s="17"/>
      <c r="I77" s="17"/>
      <c r="J77" s="17"/>
      <c r="K77" s="17"/>
      <c r="L77" s="18">
        <v>70</v>
      </c>
      <c r="M77" s="34">
        <f>C77*C$10+D77*D$10+E77*E$10+F77*F$10+G77*G$10+H77*H$10+I77*I$10+J77*J$10+K77*K$10+L77*L$10-M$11</f>
        <v>20000</v>
      </c>
      <c r="N77" s="24">
        <f>C77*C$10+D77*D$10+E77*E$10+F77*F$10+G77*G$10+H77*H$10+I77*I$10+J77*J$10+K77*K$10+L77*L$10-M$11+30000</f>
        <v>50000</v>
      </c>
    </row>
    <row r="78" spans="1:15" x14ac:dyDescent="0.25">
      <c r="A78" t="s">
        <v>48</v>
      </c>
      <c r="B78" s="7"/>
      <c r="C78" s="17"/>
      <c r="D78" s="17">
        <v>90</v>
      </c>
      <c r="E78" s="17"/>
      <c r="F78" s="17"/>
      <c r="G78" s="17"/>
      <c r="H78" s="17">
        <v>80</v>
      </c>
      <c r="I78" s="17"/>
      <c r="J78" s="17"/>
      <c r="K78" s="17"/>
      <c r="L78" s="18"/>
      <c r="M78" s="34">
        <f t="shared" si="42"/>
        <v>20000</v>
      </c>
      <c r="N78" s="24">
        <f t="shared" si="43"/>
        <v>50000</v>
      </c>
    </row>
    <row r="79" spans="1:15" ht="15.75" thickBot="1" x14ac:dyDescent="0.3">
      <c r="A79" t="s">
        <v>104</v>
      </c>
      <c r="B79" s="7"/>
      <c r="C79" s="17"/>
      <c r="D79" s="17"/>
      <c r="E79" s="17"/>
      <c r="F79" s="17"/>
      <c r="G79" s="17">
        <v>70</v>
      </c>
      <c r="H79" s="17">
        <v>100</v>
      </c>
      <c r="I79" s="17"/>
      <c r="J79" s="17"/>
      <c r="K79" s="17"/>
      <c r="L79" s="18"/>
      <c r="M79" s="35">
        <f t="shared" si="42"/>
        <v>20000</v>
      </c>
      <c r="N79" s="29">
        <f t="shared" si="43"/>
        <v>50000</v>
      </c>
    </row>
    <row r="80" spans="1:15" x14ac:dyDescent="0.25">
      <c r="A80" s="5" t="s">
        <v>106</v>
      </c>
      <c r="B80" s="6"/>
      <c r="C80" s="15">
        <f>C72+C73+C74+C75+C76+C77+C78+C79</f>
        <v>220</v>
      </c>
      <c r="D80" s="15">
        <f t="shared" ref="D80:K80" si="44">D72+D73+D74+D75+D76+D77+D78+D79</f>
        <v>420</v>
      </c>
      <c r="E80" s="15">
        <f t="shared" si="44"/>
        <v>20</v>
      </c>
      <c r="F80" s="15">
        <f>F72+F73+F74+F75+F76+F77+F78+F79</f>
        <v>0</v>
      </c>
      <c r="G80" s="15">
        <f t="shared" si="44"/>
        <v>170</v>
      </c>
      <c r="H80" s="15">
        <f t="shared" si="44"/>
        <v>180</v>
      </c>
      <c r="I80" s="15">
        <f t="shared" si="44"/>
        <v>0</v>
      </c>
      <c r="J80" s="15">
        <f t="shared" si="44"/>
        <v>0</v>
      </c>
      <c r="K80" s="15">
        <f t="shared" si="44"/>
        <v>70</v>
      </c>
      <c r="L80" s="15">
        <f>L72+L73+L74+L75+L76+L77+L78+L79</f>
        <v>320</v>
      </c>
      <c r="M80" s="34"/>
      <c r="N80" s="33"/>
    </row>
    <row r="81" spans="1:15" x14ac:dyDescent="0.25">
      <c r="A81" t="s">
        <v>93</v>
      </c>
      <c r="B81" s="11">
        <v>8</v>
      </c>
      <c r="C81" s="17">
        <f>C9*$B81</f>
        <v>120</v>
      </c>
      <c r="D81" s="17">
        <f t="shared" ref="D81:L81" si="45">D9*$B81</f>
        <v>120</v>
      </c>
      <c r="E81" s="17">
        <f t="shared" si="45"/>
        <v>120</v>
      </c>
      <c r="F81" s="17">
        <f t="shared" si="45"/>
        <v>120</v>
      </c>
      <c r="G81" s="17">
        <f t="shared" si="45"/>
        <v>120</v>
      </c>
      <c r="H81" s="17">
        <f t="shared" si="45"/>
        <v>120</v>
      </c>
      <c r="I81" s="17">
        <f t="shared" si="45"/>
        <v>120</v>
      </c>
      <c r="J81" s="17">
        <f t="shared" si="45"/>
        <v>120</v>
      </c>
      <c r="K81" s="17">
        <f t="shared" si="45"/>
        <v>120</v>
      </c>
      <c r="L81" s="18">
        <f t="shared" si="45"/>
        <v>120</v>
      </c>
      <c r="M81" s="34"/>
      <c r="N81" s="24"/>
    </row>
    <row r="82" spans="1:15" ht="15.75" thickBot="1" x14ac:dyDescent="0.3">
      <c r="A82" t="s">
        <v>96</v>
      </c>
      <c r="B82" s="7"/>
      <c r="C82" s="23">
        <f t="shared" ref="C82:L82" si="46">C80-C81</f>
        <v>100</v>
      </c>
      <c r="D82" s="23">
        <f t="shared" si="46"/>
        <v>300</v>
      </c>
      <c r="E82" s="23">
        <f t="shared" si="46"/>
        <v>-100</v>
      </c>
      <c r="F82" s="23">
        <f t="shared" si="46"/>
        <v>-120</v>
      </c>
      <c r="G82" s="23">
        <f t="shared" si="46"/>
        <v>50</v>
      </c>
      <c r="H82" s="23">
        <f t="shared" si="46"/>
        <v>60</v>
      </c>
      <c r="I82" s="23">
        <f t="shared" si="46"/>
        <v>-120</v>
      </c>
      <c r="J82" s="23">
        <f t="shared" si="46"/>
        <v>-120</v>
      </c>
      <c r="K82" s="23">
        <f t="shared" si="46"/>
        <v>-50</v>
      </c>
      <c r="L82" s="23">
        <f t="shared" si="46"/>
        <v>200</v>
      </c>
      <c r="M82" s="34"/>
      <c r="N82" s="29"/>
    </row>
    <row r="83" spans="1:15" ht="15.75" thickBot="1" x14ac:dyDescent="0.3">
      <c r="A83" s="4" t="s">
        <v>94</v>
      </c>
      <c r="B83" s="9"/>
      <c r="C83" s="25">
        <f>C82*C10</f>
        <v>100000</v>
      </c>
      <c r="D83" s="25">
        <f t="shared" ref="D83:L83" si="47">D82*D10</f>
        <v>300000</v>
      </c>
      <c r="E83" s="25">
        <f t="shared" si="47"/>
        <v>-100000</v>
      </c>
      <c r="F83" s="25">
        <f t="shared" si="47"/>
        <v>-120000</v>
      </c>
      <c r="G83" s="25">
        <f t="shared" si="47"/>
        <v>50000</v>
      </c>
      <c r="H83" s="25">
        <f t="shared" si="47"/>
        <v>60000</v>
      </c>
      <c r="I83" s="25">
        <f t="shared" si="47"/>
        <v>-120000</v>
      </c>
      <c r="J83" s="25">
        <f t="shared" si="47"/>
        <v>-120000</v>
      </c>
      <c r="K83" s="25">
        <f t="shared" si="47"/>
        <v>-50000</v>
      </c>
      <c r="L83" s="25">
        <f t="shared" si="47"/>
        <v>200000</v>
      </c>
      <c r="M83" s="36">
        <f>SUM(C83:L83)</f>
        <v>200000</v>
      </c>
      <c r="N83" s="30">
        <f>SUM(C83:L83)+270000</f>
        <v>470000</v>
      </c>
      <c r="O83" s="74">
        <f>SUM(IF(C83&gt;0,0,C83),IF(D83&gt;0,0,D83),IF(E83&gt;0,0,E83),IF(F83&gt;0,0,F83),IF(G83&gt;0,0,G83),IF(H83&gt;0,0,H83),IF(I83&gt;0,0,I83),IF(J83&gt;0,0,J83),IF(K83&gt;0,0,K83),IF(L83&gt;0,0,L83))</f>
        <v>-510000</v>
      </c>
    </row>
    <row r="84" spans="1:15" ht="15.75" thickBot="1" x14ac:dyDescent="0.3">
      <c r="M84" s="31"/>
      <c r="N84" s="31"/>
    </row>
    <row r="85" spans="1:15" ht="15.75" thickBot="1" x14ac:dyDescent="0.3">
      <c r="A85" s="3" t="s">
        <v>49</v>
      </c>
      <c r="B85" s="9"/>
      <c r="C85" s="12" t="str">
        <f>C$15</f>
        <v>Nourriture</v>
      </c>
      <c r="D85" s="13" t="str">
        <f t="shared" ref="D85:L85" si="48">D$15</f>
        <v>Bois</v>
      </c>
      <c r="E85" s="13" t="str">
        <f t="shared" si="48"/>
        <v>Fer</v>
      </c>
      <c r="F85" s="13" t="str">
        <f t="shared" si="48"/>
        <v>Cuir</v>
      </c>
      <c r="G85" s="13" t="str">
        <f t="shared" si="48"/>
        <v>Pierre</v>
      </c>
      <c r="H85" s="13" t="str">
        <f t="shared" si="48"/>
        <v>Poterie</v>
      </c>
      <c r="I85" s="13" t="str">
        <f t="shared" si="48"/>
        <v>Tissu</v>
      </c>
      <c r="J85" s="13" t="str">
        <f t="shared" si="48"/>
        <v>Alcool</v>
      </c>
      <c r="K85" s="13" t="str">
        <f t="shared" si="48"/>
        <v>Mithril</v>
      </c>
      <c r="L85" s="14" t="str">
        <f t="shared" si="48"/>
        <v>Gemmes</v>
      </c>
      <c r="M85" s="26" t="s">
        <v>100</v>
      </c>
      <c r="N85" s="27" t="s">
        <v>102</v>
      </c>
    </row>
    <row r="86" spans="1:15" x14ac:dyDescent="0.25">
      <c r="A86" t="s">
        <v>50</v>
      </c>
      <c r="B86" s="6"/>
      <c r="C86" s="15"/>
      <c r="D86" s="15"/>
      <c r="E86" s="15"/>
      <c r="F86" s="15">
        <v>110</v>
      </c>
      <c r="G86" s="15"/>
      <c r="H86" s="15"/>
      <c r="I86" s="15">
        <v>100</v>
      </c>
      <c r="J86" s="15"/>
      <c r="K86" s="15"/>
      <c r="L86" s="16"/>
      <c r="M86" s="32">
        <f t="shared" ref="M86:M93" si="49">C86*C$10+D86*D$10+E86*E$10+F86*F$10+G86*G$10+H86*H$10+I86*I$10+J86*J$10+K86*K$10+L86*L$10-M$11</f>
        <v>60000</v>
      </c>
      <c r="N86" s="33">
        <f>C86*C$10+D86*D$10+E86*E$10+F86*F$10+G86*G$10+H86*H$10+I86*I$10+J86*J$10+K86*K$10+L86*L$10-M$11+60000</f>
        <v>120000</v>
      </c>
    </row>
    <row r="87" spans="1:15" x14ac:dyDescent="0.25">
      <c r="A87" t="s">
        <v>51</v>
      </c>
      <c r="B87" s="7"/>
      <c r="C87" s="17"/>
      <c r="D87" s="17"/>
      <c r="E87" s="17"/>
      <c r="F87" s="17"/>
      <c r="G87" s="17">
        <v>60</v>
      </c>
      <c r="H87" s="17"/>
      <c r="I87" s="17"/>
      <c r="J87" s="17">
        <v>110</v>
      </c>
      <c r="K87" s="17"/>
      <c r="L87" s="18"/>
      <c r="M87" s="34">
        <f t="shared" si="49"/>
        <v>20000</v>
      </c>
      <c r="N87" s="24">
        <f t="shared" ref="N87:N93" si="50">C87*C$10+D87*D$10+E87*E$10+F87*F$10+G87*G$10+H87*H$10+I87*I$10+J87*J$10+K87*K$10+L87*L$10-M$11+30000</f>
        <v>50000</v>
      </c>
    </row>
    <row r="88" spans="1:15" x14ac:dyDescent="0.25">
      <c r="A88" t="s">
        <v>52</v>
      </c>
      <c r="B88" s="7"/>
      <c r="C88" s="17"/>
      <c r="D88" s="17"/>
      <c r="E88" s="17"/>
      <c r="F88" s="17">
        <v>120</v>
      </c>
      <c r="G88" s="17"/>
      <c r="H88" s="17"/>
      <c r="I88" s="17"/>
      <c r="J88" s="17">
        <v>50</v>
      </c>
      <c r="K88" s="17"/>
      <c r="L88" s="18"/>
      <c r="M88" s="34">
        <f t="shared" si="49"/>
        <v>20000</v>
      </c>
      <c r="N88" s="24">
        <f t="shared" si="50"/>
        <v>50000</v>
      </c>
    </row>
    <row r="89" spans="1:15" x14ac:dyDescent="0.25">
      <c r="A89" t="s">
        <v>53</v>
      </c>
      <c r="B89" s="7"/>
      <c r="C89" s="17"/>
      <c r="D89" s="17"/>
      <c r="E89" s="17"/>
      <c r="F89" s="17">
        <v>170</v>
      </c>
      <c r="G89" s="17"/>
      <c r="H89" s="17"/>
      <c r="I89" s="17"/>
      <c r="J89" s="17"/>
      <c r="K89" s="17"/>
      <c r="L89" s="18"/>
      <c r="M89" s="34">
        <f t="shared" si="49"/>
        <v>20000</v>
      </c>
      <c r="N89" s="24">
        <f t="shared" si="50"/>
        <v>50000</v>
      </c>
    </row>
    <row r="90" spans="1:15" x14ac:dyDescent="0.25">
      <c r="A90" t="s">
        <v>54</v>
      </c>
      <c r="B90" s="7"/>
      <c r="C90" s="17"/>
      <c r="D90" s="17"/>
      <c r="E90" s="17"/>
      <c r="F90" s="17"/>
      <c r="G90" s="17"/>
      <c r="H90" s="17"/>
      <c r="I90" s="17"/>
      <c r="J90" s="17">
        <v>170</v>
      </c>
      <c r="K90" s="17"/>
      <c r="L90" s="18"/>
      <c r="M90" s="34">
        <f t="shared" si="49"/>
        <v>20000</v>
      </c>
      <c r="N90" s="24">
        <f t="shared" si="50"/>
        <v>50000</v>
      </c>
    </row>
    <row r="91" spans="1:15" x14ac:dyDescent="0.25">
      <c r="A91" t="s">
        <v>55</v>
      </c>
      <c r="B91" s="7"/>
      <c r="C91" s="17"/>
      <c r="D91" s="17"/>
      <c r="E91" s="17">
        <v>120</v>
      </c>
      <c r="F91" s="17"/>
      <c r="G91" s="17"/>
      <c r="H91" s="17"/>
      <c r="I91" s="17"/>
      <c r="J91" s="17"/>
      <c r="K91" s="17">
        <v>50</v>
      </c>
      <c r="L91" s="18"/>
      <c r="M91" s="34">
        <f t="shared" si="49"/>
        <v>20000</v>
      </c>
      <c r="N91" s="24">
        <f t="shared" si="50"/>
        <v>50000</v>
      </c>
    </row>
    <row r="92" spans="1:15" x14ac:dyDescent="0.25">
      <c r="A92" t="s">
        <v>56</v>
      </c>
      <c r="B92" s="7"/>
      <c r="C92" s="17"/>
      <c r="D92" s="17"/>
      <c r="E92" s="17">
        <v>120</v>
      </c>
      <c r="F92" s="17"/>
      <c r="G92" s="17"/>
      <c r="H92" s="17"/>
      <c r="I92" s="17">
        <v>50</v>
      </c>
      <c r="J92" s="17"/>
      <c r="K92" s="17"/>
      <c r="L92" s="18"/>
      <c r="M92" s="34">
        <f t="shared" si="49"/>
        <v>20000</v>
      </c>
      <c r="N92" s="24">
        <f t="shared" si="50"/>
        <v>50000</v>
      </c>
    </row>
    <row r="93" spans="1:15" ht="15.75" thickBot="1" x14ac:dyDescent="0.3">
      <c r="A93" t="s">
        <v>57</v>
      </c>
      <c r="B93" s="7"/>
      <c r="C93" s="17"/>
      <c r="D93" s="17"/>
      <c r="E93" s="17"/>
      <c r="F93" s="17">
        <v>30</v>
      </c>
      <c r="G93" s="17">
        <v>40</v>
      </c>
      <c r="H93" s="17"/>
      <c r="I93" s="17"/>
      <c r="J93" s="17"/>
      <c r="K93" s="17">
        <v>100</v>
      </c>
      <c r="L93" s="18"/>
      <c r="M93" s="35">
        <f t="shared" si="49"/>
        <v>20000</v>
      </c>
      <c r="N93" s="29">
        <f t="shared" si="50"/>
        <v>50000</v>
      </c>
    </row>
    <row r="94" spans="1:15" x14ac:dyDescent="0.25">
      <c r="A94" s="5" t="s">
        <v>106</v>
      </c>
      <c r="B94" s="6"/>
      <c r="C94" s="15">
        <f>C86+C87+C88+C89+C90+C91+C92+C93</f>
        <v>0</v>
      </c>
      <c r="D94" s="15">
        <f t="shared" ref="D94:L94" si="51">D86+D87+D88+D89+D90+D91+D92+D93</f>
        <v>0</v>
      </c>
      <c r="E94" s="15">
        <f t="shared" si="51"/>
        <v>240</v>
      </c>
      <c r="F94" s="15">
        <f t="shared" si="51"/>
        <v>430</v>
      </c>
      <c r="G94" s="15">
        <f t="shared" si="51"/>
        <v>100</v>
      </c>
      <c r="H94" s="15">
        <f t="shared" si="51"/>
        <v>0</v>
      </c>
      <c r="I94" s="15">
        <f t="shared" si="51"/>
        <v>150</v>
      </c>
      <c r="J94" s="15">
        <f t="shared" si="51"/>
        <v>330</v>
      </c>
      <c r="K94" s="15">
        <f t="shared" si="51"/>
        <v>150</v>
      </c>
      <c r="L94" s="15">
        <f t="shared" si="51"/>
        <v>0</v>
      </c>
      <c r="M94" s="34"/>
      <c r="N94" s="33"/>
    </row>
    <row r="95" spans="1:15" x14ac:dyDescent="0.25">
      <c r="A95" t="s">
        <v>93</v>
      </c>
      <c r="B95" s="11">
        <v>8</v>
      </c>
      <c r="C95" s="17">
        <f>C9*$B95</f>
        <v>120</v>
      </c>
      <c r="D95" s="17">
        <f t="shared" ref="D95:L95" si="52">D9*$B95</f>
        <v>120</v>
      </c>
      <c r="E95" s="17">
        <f t="shared" si="52"/>
        <v>120</v>
      </c>
      <c r="F95" s="17">
        <f t="shared" si="52"/>
        <v>120</v>
      </c>
      <c r="G95" s="17">
        <f t="shared" si="52"/>
        <v>120</v>
      </c>
      <c r="H95" s="17">
        <f t="shared" si="52"/>
        <v>120</v>
      </c>
      <c r="I95" s="17">
        <f t="shared" si="52"/>
        <v>120</v>
      </c>
      <c r="J95" s="17">
        <f t="shared" si="52"/>
        <v>120</v>
      </c>
      <c r="K95" s="17">
        <f t="shared" si="52"/>
        <v>120</v>
      </c>
      <c r="L95" s="18">
        <f t="shared" si="52"/>
        <v>120</v>
      </c>
      <c r="M95" s="34"/>
      <c r="N95" s="24"/>
    </row>
    <row r="96" spans="1:15" ht="15.75" thickBot="1" x14ac:dyDescent="0.3">
      <c r="A96" t="s">
        <v>96</v>
      </c>
      <c r="B96" s="7"/>
      <c r="C96" s="23">
        <f>C94-C95</f>
        <v>-120</v>
      </c>
      <c r="D96" s="23">
        <f t="shared" ref="D96:L96" si="53">D94-D95</f>
        <v>-120</v>
      </c>
      <c r="E96" s="23">
        <f t="shared" si="53"/>
        <v>120</v>
      </c>
      <c r="F96" s="23">
        <f t="shared" si="53"/>
        <v>310</v>
      </c>
      <c r="G96" s="23">
        <f t="shared" si="53"/>
        <v>-20</v>
      </c>
      <c r="H96" s="23">
        <f t="shared" si="53"/>
        <v>-120</v>
      </c>
      <c r="I96" s="23">
        <f t="shared" si="53"/>
        <v>30</v>
      </c>
      <c r="J96" s="23">
        <f t="shared" si="53"/>
        <v>210</v>
      </c>
      <c r="K96" s="23">
        <f t="shared" si="53"/>
        <v>30</v>
      </c>
      <c r="L96" s="23">
        <f t="shared" si="53"/>
        <v>-120</v>
      </c>
      <c r="M96" s="34"/>
      <c r="N96" s="29"/>
    </row>
    <row r="97" spans="1:15" ht="15.75" thickBot="1" x14ac:dyDescent="0.3">
      <c r="A97" s="4" t="s">
        <v>94</v>
      </c>
      <c r="B97" s="9"/>
      <c r="C97" s="25">
        <f>C96*C10</f>
        <v>-120000</v>
      </c>
      <c r="D97" s="25">
        <f t="shared" ref="D97:L97" si="54">D96*D10</f>
        <v>-120000</v>
      </c>
      <c r="E97" s="25">
        <f t="shared" si="54"/>
        <v>120000</v>
      </c>
      <c r="F97" s="25">
        <f t="shared" si="54"/>
        <v>310000</v>
      </c>
      <c r="G97" s="25">
        <f t="shared" si="54"/>
        <v>-20000</v>
      </c>
      <c r="H97" s="25">
        <f t="shared" si="54"/>
        <v>-120000</v>
      </c>
      <c r="I97" s="25">
        <f t="shared" si="54"/>
        <v>30000</v>
      </c>
      <c r="J97" s="25">
        <f t="shared" si="54"/>
        <v>210000</v>
      </c>
      <c r="K97" s="25">
        <f t="shared" si="54"/>
        <v>30000</v>
      </c>
      <c r="L97" s="25">
        <f t="shared" si="54"/>
        <v>-120000</v>
      </c>
      <c r="M97" s="36">
        <f>SUM(C97:L97)</f>
        <v>200000</v>
      </c>
      <c r="N97" s="30">
        <f>SUM(C97:L97)+270000</f>
        <v>470000</v>
      </c>
      <c r="O97" s="74">
        <f>SUM(IF(C97&gt;0,0,C97),IF(D97&gt;0,0,D97),IF(E97&gt;0,0,E97),IF(F97&gt;0,0,F97),IF(G97&gt;0,0,G97),IF(H97&gt;0,0,H97),IF(I97&gt;0,0,I97),IF(J97&gt;0,0,J97),IF(K97&gt;0,0,K97),IF(L97&gt;0,0,L97))</f>
        <v>-500000</v>
      </c>
    </row>
    <row r="98" spans="1:15" ht="15.75" thickBot="1" x14ac:dyDescent="0.3">
      <c r="M98" s="31"/>
      <c r="N98" s="31"/>
    </row>
    <row r="99" spans="1:15" ht="15.75" thickBot="1" x14ac:dyDescent="0.3">
      <c r="A99" s="3" t="s">
        <v>59</v>
      </c>
      <c r="B99" s="9"/>
      <c r="C99" s="12" t="str">
        <f>C$15</f>
        <v>Nourriture</v>
      </c>
      <c r="D99" s="13" t="str">
        <f t="shared" ref="D99:L99" si="55">D$15</f>
        <v>Bois</v>
      </c>
      <c r="E99" s="13" t="str">
        <f t="shared" si="55"/>
        <v>Fer</v>
      </c>
      <c r="F99" s="13" t="str">
        <f t="shared" si="55"/>
        <v>Cuir</v>
      </c>
      <c r="G99" s="13" t="str">
        <f t="shared" si="55"/>
        <v>Pierre</v>
      </c>
      <c r="H99" s="13" t="str">
        <f t="shared" si="55"/>
        <v>Poterie</v>
      </c>
      <c r="I99" s="13" t="str">
        <f t="shared" si="55"/>
        <v>Tissu</v>
      </c>
      <c r="J99" s="13" t="str">
        <f t="shared" si="55"/>
        <v>Alcool</v>
      </c>
      <c r="K99" s="13" t="str">
        <f t="shared" si="55"/>
        <v>Mithril</v>
      </c>
      <c r="L99" s="14" t="str">
        <f t="shared" si="55"/>
        <v>Gemmes</v>
      </c>
      <c r="M99" s="26" t="s">
        <v>100</v>
      </c>
      <c r="N99" s="27" t="s">
        <v>102</v>
      </c>
    </row>
    <row r="100" spans="1:15" x14ac:dyDescent="0.25">
      <c r="A100" t="s">
        <v>60</v>
      </c>
      <c r="B100" s="6"/>
      <c r="C100" s="15"/>
      <c r="D100" s="15"/>
      <c r="E100" s="15"/>
      <c r="F100" s="15">
        <v>40</v>
      </c>
      <c r="G100" s="15"/>
      <c r="H100" s="15">
        <v>120</v>
      </c>
      <c r="I100" s="15">
        <v>20</v>
      </c>
      <c r="J100" s="15"/>
      <c r="K100" s="15"/>
      <c r="L100" s="16">
        <v>20</v>
      </c>
      <c r="M100" s="32">
        <f t="shared" ref="M100:M107" si="56">C100*C$10+D100*D$10+E100*E$10+F100*F$10+G100*G$10+H100*H$10+I100*I$10+J100*J$10+K100*K$10+L100*L$10-M$11</f>
        <v>50000</v>
      </c>
      <c r="N100" s="33">
        <f>C100*C$10+D100*D$10+E100*E$10+F100*F$10+G100*G$10+H100*H$10+I100*I$10+J100*J$10+K100*K$10+L100*L$10-M$11+60000</f>
        <v>110000</v>
      </c>
    </row>
    <row r="101" spans="1:15" x14ac:dyDescent="0.25">
      <c r="A101" t="s">
        <v>61</v>
      </c>
      <c r="B101" s="7"/>
      <c r="C101" s="17">
        <v>30</v>
      </c>
      <c r="D101" s="17"/>
      <c r="E101" s="17"/>
      <c r="F101" s="17"/>
      <c r="G101" s="17"/>
      <c r="H101" s="17"/>
      <c r="I101" s="17"/>
      <c r="J101" s="17">
        <v>140</v>
      </c>
      <c r="K101" s="17"/>
      <c r="L101" s="18"/>
      <c r="M101" s="34">
        <f t="shared" si="56"/>
        <v>20000</v>
      </c>
      <c r="N101" s="24">
        <f t="shared" ref="N101:N107" si="57">C101*C$10+D101*D$10+E101*E$10+F101*F$10+G101*G$10+H101*H$10+I101*I$10+J101*J$10+K101*K$10+L101*L$10-M$11+30000</f>
        <v>50000</v>
      </c>
    </row>
    <row r="102" spans="1:15" x14ac:dyDescent="0.25">
      <c r="A102" t="s">
        <v>62</v>
      </c>
      <c r="B102" s="7"/>
      <c r="C102" s="17"/>
      <c r="D102" s="17"/>
      <c r="E102" s="17"/>
      <c r="F102" s="17">
        <v>170</v>
      </c>
      <c r="G102" s="17"/>
      <c r="H102" s="17"/>
      <c r="I102" s="17"/>
      <c r="J102" s="17"/>
      <c r="K102" s="17"/>
      <c r="L102" s="18"/>
      <c r="M102" s="34">
        <f t="shared" si="56"/>
        <v>20000</v>
      </c>
      <c r="N102" s="24">
        <f t="shared" si="57"/>
        <v>50000</v>
      </c>
    </row>
    <row r="103" spans="1:15" x14ac:dyDescent="0.25">
      <c r="A103" t="s">
        <v>63</v>
      </c>
      <c r="B103" s="7"/>
      <c r="C103" s="17"/>
      <c r="D103" s="17">
        <v>50</v>
      </c>
      <c r="E103" s="17"/>
      <c r="F103" s="17">
        <v>100</v>
      </c>
      <c r="G103" s="17"/>
      <c r="H103" s="17">
        <v>20</v>
      </c>
      <c r="I103" s="17"/>
      <c r="J103" s="17"/>
      <c r="K103" s="17"/>
      <c r="L103" s="18"/>
      <c r="M103" s="34">
        <f t="shared" si="56"/>
        <v>20000</v>
      </c>
      <c r="N103" s="24">
        <f t="shared" si="57"/>
        <v>50000</v>
      </c>
    </row>
    <row r="104" spans="1:15" x14ac:dyDescent="0.25">
      <c r="A104" t="s">
        <v>64</v>
      </c>
      <c r="B104" s="7"/>
      <c r="C104" s="17"/>
      <c r="D104" s="17"/>
      <c r="E104" s="17"/>
      <c r="F104" s="17">
        <v>40</v>
      </c>
      <c r="G104" s="17"/>
      <c r="H104" s="17"/>
      <c r="I104" s="17"/>
      <c r="J104" s="17"/>
      <c r="K104" s="17"/>
      <c r="L104" s="18">
        <v>130</v>
      </c>
      <c r="M104" s="34">
        <f t="shared" si="56"/>
        <v>20000</v>
      </c>
      <c r="N104" s="24">
        <f t="shared" si="57"/>
        <v>50000</v>
      </c>
    </row>
    <row r="105" spans="1:15" x14ac:dyDescent="0.25">
      <c r="A105" t="s">
        <v>65</v>
      </c>
      <c r="B105" s="7"/>
      <c r="C105" s="17"/>
      <c r="D105" s="17"/>
      <c r="E105" s="17"/>
      <c r="F105" s="17"/>
      <c r="G105" s="17"/>
      <c r="H105" s="17">
        <v>170</v>
      </c>
      <c r="I105" s="17"/>
      <c r="J105" s="17"/>
      <c r="K105" s="17"/>
      <c r="L105" s="18"/>
      <c r="M105" s="34">
        <f t="shared" si="56"/>
        <v>20000</v>
      </c>
      <c r="N105" s="24">
        <f t="shared" si="57"/>
        <v>50000</v>
      </c>
    </row>
    <row r="106" spans="1:15" x14ac:dyDescent="0.25">
      <c r="A106" t="s">
        <v>66</v>
      </c>
      <c r="B106" s="7"/>
      <c r="C106" s="17"/>
      <c r="D106" s="17"/>
      <c r="E106" s="17"/>
      <c r="F106" s="17"/>
      <c r="G106" s="17"/>
      <c r="H106" s="17">
        <v>40</v>
      </c>
      <c r="I106" s="17">
        <v>130</v>
      </c>
      <c r="J106" s="17"/>
      <c r="K106" s="17"/>
      <c r="L106" s="18"/>
      <c r="M106" s="34">
        <f t="shared" si="56"/>
        <v>20000</v>
      </c>
      <c r="N106" s="24">
        <f t="shared" si="57"/>
        <v>50000</v>
      </c>
    </row>
    <row r="107" spans="1:15" ht="15.75" thickBot="1" x14ac:dyDescent="0.3">
      <c r="A107" t="s">
        <v>67</v>
      </c>
      <c r="B107" s="7"/>
      <c r="C107" s="17"/>
      <c r="D107" s="17"/>
      <c r="E107" s="17"/>
      <c r="F107" s="17"/>
      <c r="G107" s="17"/>
      <c r="H107" s="17">
        <v>100</v>
      </c>
      <c r="I107" s="17">
        <v>70</v>
      </c>
      <c r="J107" s="17"/>
      <c r="K107" s="17"/>
      <c r="L107" s="18"/>
      <c r="M107" s="35">
        <f t="shared" si="56"/>
        <v>20000</v>
      </c>
      <c r="N107" s="29">
        <f t="shared" si="57"/>
        <v>50000</v>
      </c>
    </row>
    <row r="108" spans="1:15" x14ac:dyDescent="0.25">
      <c r="A108" s="5" t="s">
        <v>106</v>
      </c>
      <c r="B108" s="6"/>
      <c r="C108" s="15">
        <f>C100+C101+C102+C103+C104+C105+C106+C107</f>
        <v>30</v>
      </c>
      <c r="D108" s="15">
        <f t="shared" ref="D108:L108" si="58">D100+D101+D102+D103+D104+D105+D106+D107</f>
        <v>50</v>
      </c>
      <c r="E108" s="15">
        <f t="shared" si="58"/>
        <v>0</v>
      </c>
      <c r="F108" s="15">
        <f t="shared" si="58"/>
        <v>350</v>
      </c>
      <c r="G108" s="15">
        <f t="shared" si="58"/>
        <v>0</v>
      </c>
      <c r="H108" s="15">
        <f t="shared" si="58"/>
        <v>450</v>
      </c>
      <c r="I108" s="15">
        <f t="shared" si="58"/>
        <v>220</v>
      </c>
      <c r="J108" s="15">
        <f t="shared" si="58"/>
        <v>140</v>
      </c>
      <c r="K108" s="15">
        <f t="shared" si="58"/>
        <v>0</v>
      </c>
      <c r="L108" s="15">
        <f t="shared" si="58"/>
        <v>150</v>
      </c>
      <c r="M108" s="34"/>
      <c r="N108" s="33"/>
    </row>
    <row r="109" spans="1:15" x14ac:dyDescent="0.25">
      <c r="A109" t="s">
        <v>93</v>
      </c>
      <c r="B109" s="11">
        <v>8</v>
      </c>
      <c r="C109" s="17">
        <f>C9*$B109</f>
        <v>120</v>
      </c>
      <c r="D109" s="17">
        <f t="shared" ref="D109:L109" si="59">D9*$B109</f>
        <v>120</v>
      </c>
      <c r="E109" s="17">
        <f t="shared" si="59"/>
        <v>120</v>
      </c>
      <c r="F109" s="17">
        <f t="shared" si="59"/>
        <v>120</v>
      </c>
      <c r="G109" s="17">
        <f t="shared" si="59"/>
        <v>120</v>
      </c>
      <c r="H109" s="17">
        <f t="shared" si="59"/>
        <v>120</v>
      </c>
      <c r="I109" s="17">
        <f t="shared" si="59"/>
        <v>120</v>
      </c>
      <c r="J109" s="17">
        <f t="shared" si="59"/>
        <v>120</v>
      </c>
      <c r="K109" s="17">
        <f t="shared" si="59"/>
        <v>120</v>
      </c>
      <c r="L109" s="18">
        <f t="shared" si="59"/>
        <v>120</v>
      </c>
      <c r="M109" s="34"/>
      <c r="N109" s="24"/>
    </row>
    <row r="110" spans="1:15" ht="15.75" thickBot="1" x14ac:dyDescent="0.3">
      <c r="A110" t="s">
        <v>96</v>
      </c>
      <c r="B110" s="7"/>
      <c r="C110" s="23">
        <f>C108-C109</f>
        <v>-90</v>
      </c>
      <c r="D110" s="23">
        <f t="shared" ref="D110:L110" si="60">D108-D109</f>
        <v>-70</v>
      </c>
      <c r="E110" s="23">
        <f t="shared" si="60"/>
        <v>-120</v>
      </c>
      <c r="F110" s="23">
        <f t="shared" si="60"/>
        <v>230</v>
      </c>
      <c r="G110" s="23">
        <f t="shared" si="60"/>
        <v>-120</v>
      </c>
      <c r="H110" s="23">
        <f t="shared" si="60"/>
        <v>330</v>
      </c>
      <c r="I110" s="23">
        <f t="shared" si="60"/>
        <v>100</v>
      </c>
      <c r="J110" s="23">
        <f t="shared" si="60"/>
        <v>20</v>
      </c>
      <c r="K110" s="23">
        <f t="shared" si="60"/>
        <v>-120</v>
      </c>
      <c r="L110" s="23">
        <f t="shared" si="60"/>
        <v>30</v>
      </c>
      <c r="M110" s="34"/>
      <c r="N110" s="29"/>
    </row>
    <row r="111" spans="1:15" ht="15.75" thickBot="1" x14ac:dyDescent="0.3">
      <c r="A111" s="4" t="s">
        <v>94</v>
      </c>
      <c r="B111" s="9"/>
      <c r="C111" s="25">
        <f>C110*C10</f>
        <v>-90000</v>
      </c>
      <c r="D111" s="25">
        <f t="shared" ref="D111:L111" si="61">D110*D10</f>
        <v>-70000</v>
      </c>
      <c r="E111" s="25">
        <f t="shared" si="61"/>
        <v>-120000</v>
      </c>
      <c r="F111" s="25">
        <f t="shared" si="61"/>
        <v>230000</v>
      </c>
      <c r="G111" s="25">
        <f t="shared" si="61"/>
        <v>-120000</v>
      </c>
      <c r="H111" s="25">
        <f t="shared" si="61"/>
        <v>330000</v>
      </c>
      <c r="I111" s="25">
        <f t="shared" si="61"/>
        <v>100000</v>
      </c>
      <c r="J111" s="25">
        <f t="shared" si="61"/>
        <v>20000</v>
      </c>
      <c r="K111" s="25">
        <f t="shared" si="61"/>
        <v>-120000</v>
      </c>
      <c r="L111" s="25">
        <f t="shared" si="61"/>
        <v>30000</v>
      </c>
      <c r="M111" s="36">
        <f>SUM(C111:L111)</f>
        <v>190000</v>
      </c>
      <c r="N111" s="30">
        <f>SUM(C111:L111)+270000</f>
        <v>460000</v>
      </c>
      <c r="O111" s="74">
        <f>SUM(IF(C111&gt;0,0,C111),IF(D111&gt;0,0,D111),IF(E111&gt;0,0,E111),IF(F111&gt;0,0,F111),IF(G111&gt;0,0,G111),IF(H111&gt;0,0,H111),IF(I111&gt;0,0,I111),IF(J111&gt;0,0,J111),IF(K111&gt;0,0,K111),IF(L111&gt;0,0,L111))</f>
        <v>-520000</v>
      </c>
    </row>
    <row r="112" spans="1:15" ht="15.75" thickBot="1" x14ac:dyDescent="0.3">
      <c r="M112" s="31"/>
      <c r="N112" s="31"/>
    </row>
    <row r="113" spans="1:15" ht="15.75" thickBot="1" x14ac:dyDescent="0.3">
      <c r="A113" s="3" t="s">
        <v>68</v>
      </c>
      <c r="B113" s="9"/>
      <c r="C113" s="12" t="str">
        <f>C$15</f>
        <v>Nourriture</v>
      </c>
      <c r="D113" s="13" t="str">
        <f t="shared" ref="D113:L113" si="62">D$15</f>
        <v>Bois</v>
      </c>
      <c r="E113" s="13" t="str">
        <f t="shared" si="62"/>
        <v>Fer</v>
      </c>
      <c r="F113" s="13" t="str">
        <f t="shared" si="62"/>
        <v>Cuir</v>
      </c>
      <c r="G113" s="13" t="str">
        <f t="shared" si="62"/>
        <v>Pierre</v>
      </c>
      <c r="H113" s="13" t="str">
        <f t="shared" si="62"/>
        <v>Poterie</v>
      </c>
      <c r="I113" s="13" t="str">
        <f t="shared" si="62"/>
        <v>Tissu</v>
      </c>
      <c r="J113" s="13" t="str">
        <f t="shared" si="62"/>
        <v>Alcool</v>
      </c>
      <c r="K113" s="13" t="str">
        <f t="shared" si="62"/>
        <v>Mithril</v>
      </c>
      <c r="L113" s="14" t="str">
        <f t="shared" si="62"/>
        <v>Gemmes</v>
      </c>
      <c r="M113" s="26" t="s">
        <v>100</v>
      </c>
      <c r="N113" s="27" t="s">
        <v>102</v>
      </c>
    </row>
    <row r="114" spans="1:15" x14ac:dyDescent="0.25">
      <c r="A114" t="s">
        <v>69</v>
      </c>
      <c r="B114" s="6"/>
      <c r="C114" s="15"/>
      <c r="D114" s="15"/>
      <c r="E114" s="15">
        <v>20</v>
      </c>
      <c r="F114" s="15"/>
      <c r="G114" s="15">
        <v>20</v>
      </c>
      <c r="H114" s="15">
        <v>90</v>
      </c>
      <c r="I114" s="15"/>
      <c r="J114" s="15">
        <v>20</v>
      </c>
      <c r="K114" s="15"/>
      <c r="L114" s="16">
        <v>60</v>
      </c>
      <c r="M114" s="32">
        <f t="shared" ref="M114:M121" si="63">C114*C$10+D114*D$10+E114*E$10+F114*F$10+G114*G$10+H114*H$10+I114*I$10+J114*J$10+K114*K$10+L114*L$10-M$11</f>
        <v>60000</v>
      </c>
      <c r="N114" s="33">
        <f>C114*C$10+D114*D$10+E114*E$10+F114*F$10+G114*G$10+H114*H$10+I114*I$10+J114*J$10+K114*K$10+L114*L$10-M$11+60000</f>
        <v>120000</v>
      </c>
    </row>
    <row r="115" spans="1:15" x14ac:dyDescent="0.25">
      <c r="A115" t="s">
        <v>70</v>
      </c>
      <c r="B115" s="7"/>
      <c r="C115" s="17"/>
      <c r="D115" s="17"/>
      <c r="E115" s="17"/>
      <c r="F115" s="17"/>
      <c r="G115" s="17">
        <v>170</v>
      </c>
      <c r="H115" s="17"/>
      <c r="I115" s="17"/>
      <c r="J115" s="17"/>
      <c r="K115" s="17"/>
      <c r="L115" s="18"/>
      <c r="M115" s="34">
        <f t="shared" si="63"/>
        <v>20000</v>
      </c>
      <c r="N115" s="24">
        <f t="shared" ref="N115:N121" si="64">C115*C$10+D115*D$10+E115*E$10+F115*F$10+G115*G$10+H115*H$10+I115*I$10+J115*J$10+K115*K$10+L115*L$10-M$11+30000</f>
        <v>50000</v>
      </c>
    </row>
    <row r="116" spans="1:15" x14ac:dyDescent="0.25">
      <c r="A116" t="s">
        <v>71</v>
      </c>
      <c r="B116" s="7"/>
      <c r="C116" s="17">
        <v>70</v>
      </c>
      <c r="D116" s="17"/>
      <c r="E116" s="17"/>
      <c r="F116" s="17"/>
      <c r="G116" s="17"/>
      <c r="H116" s="17"/>
      <c r="I116" s="17"/>
      <c r="J116" s="17"/>
      <c r="K116" s="17"/>
      <c r="L116" s="18">
        <v>100</v>
      </c>
      <c r="M116" s="34">
        <f t="shared" si="63"/>
        <v>20000</v>
      </c>
      <c r="N116" s="24">
        <f t="shared" si="64"/>
        <v>50000</v>
      </c>
    </row>
    <row r="117" spans="1:15" x14ac:dyDescent="0.25">
      <c r="A117" t="s">
        <v>72</v>
      </c>
      <c r="B117" s="7"/>
      <c r="C117" s="17"/>
      <c r="D117" s="17"/>
      <c r="E117" s="17">
        <v>60</v>
      </c>
      <c r="F117" s="17"/>
      <c r="G117" s="17"/>
      <c r="H117" s="17"/>
      <c r="I117" s="17"/>
      <c r="J117" s="17"/>
      <c r="K117" s="17">
        <v>110</v>
      </c>
      <c r="L117" s="18"/>
      <c r="M117" s="34">
        <f t="shared" si="63"/>
        <v>20000</v>
      </c>
      <c r="N117" s="24">
        <f t="shared" si="64"/>
        <v>50000</v>
      </c>
    </row>
    <row r="118" spans="1:15" x14ac:dyDescent="0.25">
      <c r="A118" t="s">
        <v>73</v>
      </c>
      <c r="B118" s="7"/>
      <c r="C118" s="17"/>
      <c r="D118" s="17"/>
      <c r="E118" s="17"/>
      <c r="F118" s="17"/>
      <c r="G118" s="17">
        <v>100</v>
      </c>
      <c r="H118" s="17">
        <v>50</v>
      </c>
      <c r="I118" s="17"/>
      <c r="J118" s="17"/>
      <c r="K118" s="17"/>
      <c r="L118" s="18">
        <v>20</v>
      </c>
      <c r="M118" s="34">
        <f t="shared" si="63"/>
        <v>20000</v>
      </c>
      <c r="N118" s="24">
        <f t="shared" si="64"/>
        <v>50000</v>
      </c>
    </row>
    <row r="119" spans="1:15" x14ac:dyDescent="0.25">
      <c r="A119" t="s">
        <v>74</v>
      </c>
      <c r="B119" s="7"/>
      <c r="C119" s="17"/>
      <c r="D119" s="17"/>
      <c r="E119" s="17">
        <v>100</v>
      </c>
      <c r="F119" s="17"/>
      <c r="G119" s="17">
        <v>70</v>
      </c>
      <c r="H119" s="17"/>
      <c r="I119" s="17"/>
      <c r="J119" s="17"/>
      <c r="K119" s="17"/>
      <c r="L119" s="18"/>
      <c r="M119" s="34">
        <f t="shared" si="63"/>
        <v>20000</v>
      </c>
      <c r="N119" s="24">
        <f t="shared" si="64"/>
        <v>50000</v>
      </c>
    </row>
    <row r="120" spans="1:15" x14ac:dyDescent="0.25">
      <c r="A120" t="s">
        <v>75</v>
      </c>
      <c r="B120" s="7"/>
      <c r="C120" s="17"/>
      <c r="D120" s="17"/>
      <c r="E120" s="17">
        <v>120</v>
      </c>
      <c r="F120" s="17"/>
      <c r="G120" s="17"/>
      <c r="H120" s="17"/>
      <c r="I120" s="17"/>
      <c r="J120" s="17"/>
      <c r="K120" s="17">
        <v>50</v>
      </c>
      <c r="L120" s="18"/>
      <c r="M120" s="34">
        <f t="shared" si="63"/>
        <v>20000</v>
      </c>
      <c r="N120" s="24">
        <f t="shared" si="64"/>
        <v>50000</v>
      </c>
    </row>
    <row r="121" spans="1:15" ht="15.75" thickBot="1" x14ac:dyDescent="0.3">
      <c r="A121" t="s">
        <v>76</v>
      </c>
      <c r="B121" s="7"/>
      <c r="C121" s="17"/>
      <c r="D121" s="17"/>
      <c r="E121" s="17">
        <v>170</v>
      </c>
      <c r="F121" s="17"/>
      <c r="G121" s="17"/>
      <c r="H121" s="17"/>
      <c r="I121" s="17"/>
      <c r="J121" s="17"/>
      <c r="K121" s="17"/>
      <c r="L121" s="18"/>
      <c r="M121" s="35">
        <f t="shared" si="63"/>
        <v>20000</v>
      </c>
      <c r="N121" s="29">
        <f t="shared" si="64"/>
        <v>50000</v>
      </c>
    </row>
    <row r="122" spans="1:15" x14ac:dyDescent="0.25">
      <c r="A122" s="5" t="s">
        <v>106</v>
      </c>
      <c r="B122" s="6"/>
      <c r="C122" s="15">
        <f>C114+C115+C116+C117+C118+C119+C120+C121</f>
        <v>70</v>
      </c>
      <c r="D122" s="15">
        <f t="shared" ref="D122:L122" si="65">D114+D115+D116+D117+D118+D119+D120+D121</f>
        <v>0</v>
      </c>
      <c r="E122" s="15">
        <f t="shared" si="65"/>
        <v>470</v>
      </c>
      <c r="F122" s="15">
        <f t="shared" si="65"/>
        <v>0</v>
      </c>
      <c r="G122" s="15">
        <f t="shared" si="65"/>
        <v>360</v>
      </c>
      <c r="H122" s="15">
        <f t="shared" si="65"/>
        <v>140</v>
      </c>
      <c r="I122" s="15">
        <f t="shared" si="65"/>
        <v>0</v>
      </c>
      <c r="J122" s="15">
        <f t="shared" si="65"/>
        <v>20</v>
      </c>
      <c r="K122" s="15">
        <f t="shared" si="65"/>
        <v>160</v>
      </c>
      <c r="L122" s="15">
        <f t="shared" si="65"/>
        <v>180</v>
      </c>
      <c r="M122" s="34"/>
      <c r="N122" s="33"/>
    </row>
    <row r="123" spans="1:15" x14ac:dyDescent="0.25">
      <c r="A123" t="s">
        <v>93</v>
      </c>
      <c r="B123" s="11">
        <v>8</v>
      </c>
      <c r="C123" s="17">
        <f>C9*$B123</f>
        <v>120</v>
      </c>
      <c r="D123" s="17">
        <f t="shared" ref="D123:L123" si="66">D9*$B123</f>
        <v>120</v>
      </c>
      <c r="E123" s="17">
        <f t="shared" si="66"/>
        <v>120</v>
      </c>
      <c r="F123" s="17">
        <f t="shared" si="66"/>
        <v>120</v>
      </c>
      <c r="G123" s="17">
        <f t="shared" si="66"/>
        <v>120</v>
      </c>
      <c r="H123" s="17">
        <f t="shared" si="66"/>
        <v>120</v>
      </c>
      <c r="I123" s="17">
        <f t="shared" si="66"/>
        <v>120</v>
      </c>
      <c r="J123" s="17">
        <f t="shared" si="66"/>
        <v>120</v>
      </c>
      <c r="K123" s="17">
        <f t="shared" si="66"/>
        <v>120</v>
      </c>
      <c r="L123" s="18">
        <f t="shared" si="66"/>
        <v>120</v>
      </c>
      <c r="M123" s="34"/>
      <c r="N123" s="24"/>
    </row>
    <row r="124" spans="1:15" ht="15.75" thickBot="1" x14ac:dyDescent="0.3">
      <c r="A124" t="s">
        <v>96</v>
      </c>
      <c r="B124" s="7"/>
      <c r="C124" s="23">
        <f>C122-C123</f>
        <v>-50</v>
      </c>
      <c r="D124" s="23">
        <f t="shared" ref="D124:L124" si="67">D122-D123</f>
        <v>-120</v>
      </c>
      <c r="E124" s="23">
        <f t="shared" si="67"/>
        <v>350</v>
      </c>
      <c r="F124" s="23">
        <f t="shared" si="67"/>
        <v>-120</v>
      </c>
      <c r="G124" s="23">
        <f t="shared" si="67"/>
        <v>240</v>
      </c>
      <c r="H124" s="23">
        <f t="shared" si="67"/>
        <v>20</v>
      </c>
      <c r="I124" s="23">
        <f t="shared" si="67"/>
        <v>-120</v>
      </c>
      <c r="J124" s="23">
        <f t="shared" si="67"/>
        <v>-100</v>
      </c>
      <c r="K124" s="23">
        <f t="shared" si="67"/>
        <v>40</v>
      </c>
      <c r="L124" s="23">
        <f t="shared" si="67"/>
        <v>60</v>
      </c>
      <c r="M124" s="34"/>
      <c r="N124" s="29"/>
    </row>
    <row r="125" spans="1:15" ht="15.75" thickBot="1" x14ac:dyDescent="0.3">
      <c r="A125" s="4" t="s">
        <v>94</v>
      </c>
      <c r="B125" s="9"/>
      <c r="C125" s="25">
        <f>C124*C10</f>
        <v>-50000</v>
      </c>
      <c r="D125" s="25">
        <f t="shared" ref="D125:L125" si="68">D124*D10</f>
        <v>-120000</v>
      </c>
      <c r="E125" s="25">
        <f t="shared" si="68"/>
        <v>350000</v>
      </c>
      <c r="F125" s="25">
        <f t="shared" si="68"/>
        <v>-120000</v>
      </c>
      <c r="G125" s="25">
        <f t="shared" si="68"/>
        <v>240000</v>
      </c>
      <c r="H125" s="25">
        <f t="shared" si="68"/>
        <v>20000</v>
      </c>
      <c r="I125" s="25">
        <f t="shared" si="68"/>
        <v>-120000</v>
      </c>
      <c r="J125" s="25">
        <f t="shared" si="68"/>
        <v>-100000</v>
      </c>
      <c r="K125" s="25">
        <f t="shared" si="68"/>
        <v>40000</v>
      </c>
      <c r="L125" s="25">
        <f t="shared" si="68"/>
        <v>60000</v>
      </c>
      <c r="M125" s="36">
        <f>SUM(C125:L125)</f>
        <v>200000</v>
      </c>
      <c r="N125" s="30">
        <f>SUM(C125:L125)+270000</f>
        <v>470000</v>
      </c>
      <c r="O125" s="74">
        <f>SUM(IF(C125&gt;0,0,C125),IF(D125&gt;0,0,D125),IF(E125&gt;0,0,E125),IF(F125&gt;0,0,F125),IF(G125&gt;0,0,G125),IF(H125&gt;0,0,H125),IF(I125&gt;0,0,I125),IF(J125&gt;0,0,J125),IF(K125&gt;0,0,K125),IF(L125&gt;0,0,L125))</f>
        <v>-510000</v>
      </c>
    </row>
    <row r="126" spans="1:15" ht="15.75" thickBot="1" x14ac:dyDescent="0.3">
      <c r="M126" s="31"/>
      <c r="N126" s="31"/>
    </row>
    <row r="127" spans="1:15" ht="15.75" thickBot="1" x14ac:dyDescent="0.3">
      <c r="A127" s="3" t="s">
        <v>77</v>
      </c>
      <c r="B127" s="9"/>
      <c r="C127" s="12" t="str">
        <f>C$15</f>
        <v>Nourriture</v>
      </c>
      <c r="D127" s="13" t="str">
        <f t="shared" ref="D127:L127" si="69">D$15</f>
        <v>Bois</v>
      </c>
      <c r="E127" s="13" t="str">
        <f t="shared" si="69"/>
        <v>Fer</v>
      </c>
      <c r="F127" s="13" t="str">
        <f t="shared" si="69"/>
        <v>Cuir</v>
      </c>
      <c r="G127" s="13" t="str">
        <f t="shared" si="69"/>
        <v>Pierre</v>
      </c>
      <c r="H127" s="13" t="str">
        <f t="shared" si="69"/>
        <v>Poterie</v>
      </c>
      <c r="I127" s="13" t="str">
        <f t="shared" si="69"/>
        <v>Tissu</v>
      </c>
      <c r="J127" s="13" t="str">
        <f t="shared" si="69"/>
        <v>Alcool</v>
      </c>
      <c r="K127" s="13" t="str">
        <f t="shared" si="69"/>
        <v>Mithril</v>
      </c>
      <c r="L127" s="14" t="str">
        <f t="shared" si="69"/>
        <v>Gemmes</v>
      </c>
      <c r="M127" s="26" t="s">
        <v>100</v>
      </c>
      <c r="N127" s="27" t="s">
        <v>102</v>
      </c>
    </row>
    <row r="128" spans="1:15" x14ac:dyDescent="0.25">
      <c r="A128" t="s">
        <v>78</v>
      </c>
      <c r="B128" s="6"/>
      <c r="C128" s="15"/>
      <c r="D128" s="15"/>
      <c r="E128" s="15"/>
      <c r="F128" s="15"/>
      <c r="G128" s="15">
        <v>30</v>
      </c>
      <c r="H128" s="15">
        <v>40</v>
      </c>
      <c r="I128" s="15">
        <v>140</v>
      </c>
      <c r="J128" s="15"/>
      <c r="K128" s="15"/>
      <c r="L128" s="16"/>
      <c r="M128" s="32">
        <f t="shared" ref="M128:M135" si="70">C128*C$10+D128*D$10+E128*E$10+F128*F$10+G128*G$10+H128*H$10+I128*I$10+J128*J$10+K128*K$10+L128*L$10-M$11</f>
        <v>60000</v>
      </c>
      <c r="N128" s="33">
        <f>C128*C$10+D128*D$10+E128*E$10+F128*F$10+G128*G$10+H128*H$10+I128*I$10+J128*J$10+K128*K$10+L128*L$10-M$11+60000</f>
        <v>120000</v>
      </c>
    </row>
    <row r="129" spans="1:15" x14ac:dyDescent="0.25">
      <c r="A129" t="s">
        <v>79</v>
      </c>
      <c r="B129" s="7"/>
      <c r="C129" s="17"/>
      <c r="D129" s="17"/>
      <c r="E129" s="17"/>
      <c r="F129" s="17"/>
      <c r="G129" s="17"/>
      <c r="H129" s="17"/>
      <c r="I129" s="17">
        <v>50</v>
      </c>
      <c r="J129" s="17">
        <v>120</v>
      </c>
      <c r="K129" s="17"/>
      <c r="L129" s="18"/>
      <c r="M129" s="34">
        <f t="shared" si="70"/>
        <v>20000</v>
      </c>
      <c r="N129" s="24">
        <f t="shared" ref="N129:N135" si="71">C129*C$10+D129*D$10+E129*E$10+F129*F$10+G129*G$10+H129*H$10+I129*I$10+J129*J$10+K129*K$10+L129*L$10-M$11+30000</f>
        <v>50000</v>
      </c>
    </row>
    <row r="130" spans="1:15" x14ac:dyDescent="0.25">
      <c r="A130" t="s">
        <v>80</v>
      </c>
      <c r="B130" s="7"/>
      <c r="C130" s="17"/>
      <c r="D130" s="17"/>
      <c r="E130" s="17"/>
      <c r="F130" s="17">
        <v>70</v>
      </c>
      <c r="G130" s="17">
        <v>40</v>
      </c>
      <c r="H130" s="17"/>
      <c r="I130" s="17"/>
      <c r="J130" s="17"/>
      <c r="K130" s="17">
        <v>20</v>
      </c>
      <c r="L130" s="18">
        <v>40</v>
      </c>
      <c r="M130" s="34">
        <f t="shared" si="70"/>
        <v>20000</v>
      </c>
      <c r="N130" s="24">
        <f t="shared" si="71"/>
        <v>50000</v>
      </c>
    </row>
    <row r="131" spans="1:15" x14ac:dyDescent="0.25">
      <c r="A131" t="s">
        <v>81</v>
      </c>
      <c r="B131" s="7"/>
      <c r="C131" s="17"/>
      <c r="D131" s="17"/>
      <c r="E131" s="17"/>
      <c r="F131" s="17"/>
      <c r="G131" s="17"/>
      <c r="H131" s="17"/>
      <c r="I131" s="17">
        <v>170</v>
      </c>
      <c r="J131" s="17"/>
      <c r="K131" s="17"/>
      <c r="L131" s="18"/>
      <c r="M131" s="34">
        <f t="shared" si="70"/>
        <v>20000</v>
      </c>
      <c r="N131" s="24">
        <f t="shared" si="71"/>
        <v>50000</v>
      </c>
    </row>
    <row r="132" spans="1:15" x14ac:dyDescent="0.25">
      <c r="A132" t="s">
        <v>82</v>
      </c>
      <c r="B132" s="7"/>
      <c r="C132" s="17">
        <v>100</v>
      </c>
      <c r="D132" s="17"/>
      <c r="E132" s="17"/>
      <c r="F132" s="17"/>
      <c r="G132" s="17"/>
      <c r="H132" s="17"/>
      <c r="I132" s="17"/>
      <c r="J132" s="17">
        <v>70</v>
      </c>
      <c r="K132" s="17"/>
      <c r="L132" s="18"/>
      <c r="M132" s="34">
        <f t="shared" si="70"/>
        <v>20000</v>
      </c>
      <c r="N132" s="24">
        <f t="shared" si="71"/>
        <v>50000</v>
      </c>
    </row>
    <row r="133" spans="1:15" x14ac:dyDescent="0.25">
      <c r="A133" t="s">
        <v>83</v>
      </c>
      <c r="B133" s="7"/>
      <c r="C133" s="17">
        <v>170</v>
      </c>
      <c r="D133" s="17"/>
      <c r="E133" s="17"/>
      <c r="F133" s="17"/>
      <c r="G133" s="17"/>
      <c r="H133" s="17"/>
      <c r="I133" s="17"/>
      <c r="J133" s="17"/>
      <c r="K133" s="17"/>
      <c r="L133" s="18"/>
      <c r="M133" s="34">
        <f t="shared" si="70"/>
        <v>20000</v>
      </c>
      <c r="N133" s="24">
        <f t="shared" si="71"/>
        <v>50000</v>
      </c>
    </row>
    <row r="134" spans="1:15" x14ac:dyDescent="0.25">
      <c r="A134" t="s">
        <v>84</v>
      </c>
      <c r="B134" s="7"/>
      <c r="C134" s="17"/>
      <c r="D134" s="17"/>
      <c r="E134" s="17"/>
      <c r="F134" s="17"/>
      <c r="G134" s="17"/>
      <c r="H134" s="17">
        <v>170</v>
      </c>
      <c r="I134" s="17"/>
      <c r="J134" s="17"/>
      <c r="K134" s="17"/>
      <c r="L134" s="18"/>
      <c r="M134" s="34">
        <f t="shared" si="70"/>
        <v>20000</v>
      </c>
      <c r="N134" s="24">
        <f t="shared" si="71"/>
        <v>50000</v>
      </c>
    </row>
    <row r="135" spans="1:15" ht="15.75" thickBot="1" x14ac:dyDescent="0.3">
      <c r="A135" t="s">
        <v>85</v>
      </c>
      <c r="B135" s="7"/>
      <c r="C135" s="17">
        <v>60</v>
      </c>
      <c r="D135" s="17"/>
      <c r="E135" s="17"/>
      <c r="F135" s="17"/>
      <c r="G135" s="17"/>
      <c r="H135" s="17"/>
      <c r="I135" s="17">
        <v>110</v>
      </c>
      <c r="J135" s="17"/>
      <c r="K135" s="17"/>
      <c r="L135" s="18"/>
      <c r="M135" s="35">
        <f t="shared" si="70"/>
        <v>20000</v>
      </c>
      <c r="N135" s="29">
        <f t="shared" si="71"/>
        <v>50000</v>
      </c>
    </row>
    <row r="136" spans="1:15" x14ac:dyDescent="0.25">
      <c r="A136" s="5" t="s">
        <v>106</v>
      </c>
      <c r="B136" s="6"/>
      <c r="C136" s="15">
        <f>C128+C129+C130+C131+C132+C133+C134+C135</f>
        <v>330</v>
      </c>
      <c r="D136" s="15">
        <f>D128+D129+D130+D131+D132+D133+D134+D135</f>
        <v>0</v>
      </c>
      <c r="E136" s="15">
        <f t="shared" ref="E136:L136" si="72">E128+E129+E130+E131+E132+E133+E134+E135</f>
        <v>0</v>
      </c>
      <c r="F136" s="15">
        <f t="shared" si="72"/>
        <v>70</v>
      </c>
      <c r="G136" s="15">
        <f t="shared" si="72"/>
        <v>70</v>
      </c>
      <c r="H136" s="15">
        <f>H128+H129+H130+H131+H132+H133+H134+H135</f>
        <v>210</v>
      </c>
      <c r="I136" s="15">
        <f t="shared" si="72"/>
        <v>470</v>
      </c>
      <c r="J136" s="15">
        <f t="shared" si="72"/>
        <v>190</v>
      </c>
      <c r="K136" s="15">
        <f t="shared" si="72"/>
        <v>20</v>
      </c>
      <c r="L136" s="15">
        <f t="shared" si="72"/>
        <v>40</v>
      </c>
      <c r="M136" s="34"/>
      <c r="N136" s="33"/>
    </row>
    <row r="137" spans="1:15" x14ac:dyDescent="0.25">
      <c r="A137" t="s">
        <v>93</v>
      </c>
      <c r="B137" s="11">
        <v>8</v>
      </c>
      <c r="C137" s="17">
        <f>C9*$B137</f>
        <v>120</v>
      </c>
      <c r="D137" s="17">
        <f t="shared" ref="D137:L137" si="73">D9*$B137</f>
        <v>120</v>
      </c>
      <c r="E137" s="17">
        <f t="shared" si="73"/>
        <v>120</v>
      </c>
      <c r="F137" s="17">
        <f t="shared" si="73"/>
        <v>120</v>
      </c>
      <c r="G137" s="17">
        <f t="shared" si="73"/>
        <v>120</v>
      </c>
      <c r="H137" s="17">
        <f t="shared" si="73"/>
        <v>120</v>
      </c>
      <c r="I137" s="17">
        <f t="shared" si="73"/>
        <v>120</v>
      </c>
      <c r="J137" s="17">
        <f t="shared" si="73"/>
        <v>120</v>
      </c>
      <c r="K137" s="17">
        <f t="shared" si="73"/>
        <v>120</v>
      </c>
      <c r="L137" s="18">
        <f t="shared" si="73"/>
        <v>120</v>
      </c>
      <c r="M137" s="34"/>
      <c r="N137" s="24"/>
    </row>
    <row r="138" spans="1:15" ht="15.75" thickBot="1" x14ac:dyDescent="0.3">
      <c r="A138" t="s">
        <v>96</v>
      </c>
      <c r="B138" s="7"/>
      <c r="C138" s="23">
        <f>C136-C137</f>
        <v>210</v>
      </c>
      <c r="D138" s="23">
        <f t="shared" ref="D138:L138" si="74">D136-D137</f>
        <v>-120</v>
      </c>
      <c r="E138" s="23">
        <f t="shared" si="74"/>
        <v>-120</v>
      </c>
      <c r="F138" s="23">
        <f t="shared" si="74"/>
        <v>-50</v>
      </c>
      <c r="G138" s="23">
        <f t="shared" si="74"/>
        <v>-50</v>
      </c>
      <c r="H138" s="23">
        <f t="shared" si="74"/>
        <v>90</v>
      </c>
      <c r="I138" s="23">
        <f t="shared" si="74"/>
        <v>350</v>
      </c>
      <c r="J138" s="23">
        <f t="shared" si="74"/>
        <v>70</v>
      </c>
      <c r="K138" s="23">
        <f t="shared" si="74"/>
        <v>-100</v>
      </c>
      <c r="L138" s="23">
        <f t="shared" si="74"/>
        <v>-80</v>
      </c>
      <c r="M138" s="34"/>
      <c r="N138" s="29"/>
    </row>
    <row r="139" spans="1:15" ht="15.75" thickBot="1" x14ac:dyDescent="0.3">
      <c r="A139" s="4" t="s">
        <v>94</v>
      </c>
      <c r="B139" s="9"/>
      <c r="C139" s="25">
        <f>C138*C10</f>
        <v>210000</v>
      </c>
      <c r="D139" s="25">
        <f t="shared" ref="D139:L139" si="75">D138*D10</f>
        <v>-120000</v>
      </c>
      <c r="E139" s="25">
        <f t="shared" si="75"/>
        <v>-120000</v>
      </c>
      <c r="F139" s="25">
        <f t="shared" si="75"/>
        <v>-50000</v>
      </c>
      <c r="G139" s="25">
        <f t="shared" si="75"/>
        <v>-50000</v>
      </c>
      <c r="H139" s="25">
        <f t="shared" si="75"/>
        <v>90000</v>
      </c>
      <c r="I139" s="25">
        <f t="shared" si="75"/>
        <v>350000</v>
      </c>
      <c r="J139" s="25">
        <f t="shared" si="75"/>
        <v>70000</v>
      </c>
      <c r="K139" s="25">
        <f t="shared" si="75"/>
        <v>-100000</v>
      </c>
      <c r="L139" s="25">
        <f t="shared" si="75"/>
        <v>-80000</v>
      </c>
      <c r="M139" s="36">
        <f>SUM(C139:L139)</f>
        <v>200000</v>
      </c>
      <c r="N139" s="30">
        <f>SUM(C139:L139)+270000</f>
        <v>470000</v>
      </c>
      <c r="O139" s="74">
        <f>SUM(IF(C139&gt;0,0,C139),IF(D139&gt;0,0,D139),IF(E139&gt;0,0,E139),IF(F139&gt;0,0,F139),IF(G139&gt;0,0,G139),IF(H139&gt;0,0,H139),IF(I139&gt;0,0,I139),IF(J139&gt;0,0,J139),IF(K139&gt;0,0,K139),IF(L139&gt;0,0,L139))</f>
        <v>-520000</v>
      </c>
    </row>
    <row r="140" spans="1:15" ht="15.75" thickBot="1" x14ac:dyDescent="0.3">
      <c r="M140" s="31"/>
      <c r="N140" s="31"/>
    </row>
    <row r="141" spans="1:15" ht="15.75" thickBot="1" x14ac:dyDescent="0.3">
      <c r="A141" s="3" t="s">
        <v>86</v>
      </c>
      <c r="B141" s="9"/>
      <c r="C141" s="12" t="str">
        <f>C$15</f>
        <v>Nourriture</v>
      </c>
      <c r="D141" s="13" t="str">
        <f t="shared" ref="D141:L141" si="76">D$15</f>
        <v>Bois</v>
      </c>
      <c r="E141" s="13" t="str">
        <f t="shared" si="76"/>
        <v>Fer</v>
      </c>
      <c r="F141" s="13" t="str">
        <f t="shared" si="76"/>
        <v>Cuir</v>
      </c>
      <c r="G141" s="13" t="str">
        <f t="shared" si="76"/>
        <v>Pierre</v>
      </c>
      <c r="H141" s="13" t="str">
        <f t="shared" si="76"/>
        <v>Poterie</v>
      </c>
      <c r="I141" s="13" t="str">
        <f t="shared" si="76"/>
        <v>Tissu</v>
      </c>
      <c r="J141" s="13" t="str">
        <f t="shared" si="76"/>
        <v>Alcool</v>
      </c>
      <c r="K141" s="13" t="str">
        <f t="shared" si="76"/>
        <v>Mithril</v>
      </c>
      <c r="L141" s="14" t="str">
        <f t="shared" si="76"/>
        <v>Gemmes</v>
      </c>
      <c r="M141" s="26" t="s">
        <v>100</v>
      </c>
      <c r="N141" s="27" t="s">
        <v>102</v>
      </c>
    </row>
    <row r="142" spans="1:15" x14ac:dyDescent="0.25">
      <c r="A142" t="s">
        <v>89</v>
      </c>
      <c r="B142" s="6"/>
      <c r="C142" s="15"/>
      <c r="D142" s="15"/>
      <c r="E142" s="15">
        <v>90</v>
      </c>
      <c r="F142" s="15"/>
      <c r="G142" s="15"/>
      <c r="H142" s="15"/>
      <c r="I142" s="15"/>
      <c r="J142" s="15"/>
      <c r="K142" s="15">
        <v>120</v>
      </c>
      <c r="L142" s="16"/>
      <c r="M142" s="32">
        <f>C142*C$10+D142*D$10+E142*E$10+F142*F$10+G142*G$10+H142*H$10+I142*I$10+J142*J$10+K142*K$10+L142*L$10-M$11</f>
        <v>60000</v>
      </c>
      <c r="N142" s="33">
        <f>C142*C$10+D142*D$10+E142*E$10+F142*F$10+G142*G$10+H142*H$10+I142*I$10+J142*J$10+K142*K$10+L142*L$10-M$11+60000</f>
        <v>120000</v>
      </c>
    </row>
    <row r="143" spans="1:15" x14ac:dyDescent="0.25">
      <c r="A143" t="s">
        <v>88</v>
      </c>
      <c r="B143" s="7"/>
      <c r="C143" s="17"/>
      <c r="D143" s="17"/>
      <c r="E143" s="17">
        <v>80</v>
      </c>
      <c r="F143" s="17"/>
      <c r="G143" s="17">
        <v>20</v>
      </c>
      <c r="H143" s="17"/>
      <c r="I143" s="17"/>
      <c r="J143" s="17"/>
      <c r="K143" s="17">
        <v>70</v>
      </c>
      <c r="L143" s="18"/>
      <c r="M143" s="34">
        <f>C143*C$10+D143*D$10+E143*E$10+F143*F$10+G143*G$10+H143*H$10+I143*I$10+J143*J$10+K143*K$10+L143*L$10-M$11</f>
        <v>20000</v>
      </c>
      <c r="N143" s="24">
        <f t="shared" ref="N143:N144" si="77">C143*C$10+D143*D$10+E143*E$10+F143*F$10+G143*G$10+H143*H$10+I143*I$10+J143*J$10+K143*K$10+L143*L$10-M$11+30000</f>
        <v>50000</v>
      </c>
    </row>
    <row r="144" spans="1:15" ht="15.75" thickBot="1" x14ac:dyDescent="0.3">
      <c r="A144" t="s">
        <v>87</v>
      </c>
      <c r="B144" s="7"/>
      <c r="C144" s="17"/>
      <c r="D144" s="17">
        <v>90</v>
      </c>
      <c r="E144" s="17"/>
      <c r="F144" s="17"/>
      <c r="G144" s="17">
        <v>30</v>
      </c>
      <c r="H144" s="17"/>
      <c r="I144" s="17"/>
      <c r="J144" s="17"/>
      <c r="K144" s="17">
        <v>50</v>
      </c>
      <c r="L144" s="18"/>
      <c r="M144" s="34">
        <f>C144*C$10+D144*D$10+E144*E$10+F144*F$10+G144*G$10+H144*H$10+I144*I$10+J144*J$10+K144*K$10+L144*L$10-M$11</f>
        <v>20000</v>
      </c>
      <c r="N144" s="24">
        <f t="shared" si="77"/>
        <v>50000</v>
      </c>
    </row>
    <row r="145" spans="1:15" x14ac:dyDescent="0.25">
      <c r="A145" s="5" t="s">
        <v>106</v>
      </c>
      <c r="B145" s="6"/>
      <c r="C145" s="15">
        <f>C142+C143+C144</f>
        <v>0</v>
      </c>
      <c r="D145" s="15">
        <f t="shared" ref="D145:L145" si="78">D142+D143+D144</f>
        <v>90</v>
      </c>
      <c r="E145" s="15">
        <f t="shared" si="78"/>
        <v>170</v>
      </c>
      <c r="F145" s="15">
        <f t="shared" si="78"/>
        <v>0</v>
      </c>
      <c r="G145" s="15">
        <f t="shared" si="78"/>
        <v>50</v>
      </c>
      <c r="H145" s="15">
        <f t="shared" si="78"/>
        <v>0</v>
      </c>
      <c r="I145" s="15">
        <f t="shared" si="78"/>
        <v>0</v>
      </c>
      <c r="J145" s="15">
        <f t="shared" si="78"/>
        <v>0</v>
      </c>
      <c r="K145" s="15">
        <f>K142+K143+K144</f>
        <v>240</v>
      </c>
      <c r="L145" s="15">
        <f t="shared" si="78"/>
        <v>0</v>
      </c>
      <c r="M145" s="32"/>
      <c r="N145" s="33"/>
    </row>
    <row r="146" spans="1:15" x14ac:dyDescent="0.25">
      <c r="A146" t="s">
        <v>93</v>
      </c>
      <c r="B146" s="11">
        <v>3</v>
      </c>
      <c r="C146" s="17">
        <f>C9*$B146</f>
        <v>45</v>
      </c>
      <c r="D146" s="17">
        <f t="shared" ref="D146:L146" si="79">D9*$B146</f>
        <v>45</v>
      </c>
      <c r="E146" s="17">
        <f t="shared" si="79"/>
        <v>45</v>
      </c>
      <c r="F146" s="17">
        <f t="shared" si="79"/>
        <v>45</v>
      </c>
      <c r="G146" s="17">
        <f t="shared" si="79"/>
        <v>45</v>
      </c>
      <c r="H146" s="17">
        <f t="shared" si="79"/>
        <v>45</v>
      </c>
      <c r="I146" s="17">
        <f t="shared" si="79"/>
        <v>45</v>
      </c>
      <c r="J146" s="17">
        <f t="shared" si="79"/>
        <v>45</v>
      </c>
      <c r="K146" s="17">
        <f t="shared" si="79"/>
        <v>45</v>
      </c>
      <c r="L146" s="18">
        <f t="shared" si="79"/>
        <v>45</v>
      </c>
      <c r="M146" s="34"/>
      <c r="N146" s="24"/>
    </row>
    <row r="147" spans="1:15" ht="15.75" thickBot="1" x14ac:dyDescent="0.3">
      <c r="A147" t="s">
        <v>96</v>
      </c>
      <c r="B147" s="7"/>
      <c r="C147" s="23">
        <f>C145-C146</f>
        <v>-45</v>
      </c>
      <c r="D147" s="23">
        <f t="shared" ref="D147:L147" si="80">D145-D146</f>
        <v>45</v>
      </c>
      <c r="E147" s="23">
        <f t="shared" si="80"/>
        <v>125</v>
      </c>
      <c r="F147" s="23">
        <f t="shared" si="80"/>
        <v>-45</v>
      </c>
      <c r="G147" s="23">
        <f t="shared" si="80"/>
        <v>5</v>
      </c>
      <c r="H147" s="23">
        <f t="shared" si="80"/>
        <v>-45</v>
      </c>
      <c r="I147" s="23">
        <f t="shared" si="80"/>
        <v>-45</v>
      </c>
      <c r="J147" s="23">
        <f t="shared" si="80"/>
        <v>-45</v>
      </c>
      <c r="K147" s="23">
        <f t="shared" si="80"/>
        <v>195</v>
      </c>
      <c r="L147" s="23">
        <f t="shared" si="80"/>
        <v>-45</v>
      </c>
      <c r="M147" s="34"/>
      <c r="N147" s="29"/>
    </row>
    <row r="148" spans="1:15" ht="15.75" thickBot="1" x14ac:dyDescent="0.3">
      <c r="A148" s="4" t="s">
        <v>94</v>
      </c>
      <c r="B148" s="9"/>
      <c r="C148" s="25">
        <f>C147*C10</f>
        <v>-45000</v>
      </c>
      <c r="D148" s="25">
        <f t="shared" ref="D148:L148" si="81">D147*D10</f>
        <v>45000</v>
      </c>
      <c r="E148" s="25">
        <f t="shared" si="81"/>
        <v>125000</v>
      </c>
      <c r="F148" s="25">
        <f t="shared" si="81"/>
        <v>-45000</v>
      </c>
      <c r="G148" s="25">
        <f t="shared" si="81"/>
        <v>5000</v>
      </c>
      <c r="H148" s="25">
        <f t="shared" si="81"/>
        <v>-45000</v>
      </c>
      <c r="I148" s="25">
        <f t="shared" si="81"/>
        <v>-45000</v>
      </c>
      <c r="J148" s="25">
        <f t="shared" si="81"/>
        <v>-45000</v>
      </c>
      <c r="K148" s="25">
        <f t="shared" si="81"/>
        <v>195000</v>
      </c>
      <c r="L148" s="25">
        <f t="shared" si="81"/>
        <v>-45000</v>
      </c>
      <c r="M148" s="36">
        <f>SUM(C148:L148)</f>
        <v>100000</v>
      </c>
      <c r="N148" s="30">
        <f>SUM(C148:L148)+120000</f>
        <v>220000</v>
      </c>
      <c r="O148" s="74">
        <f>SUM(IF(C148&gt;0,0,C148),IF(D148&gt;0,0,D148),IF(E148&gt;0,0,E148),IF(F148&gt;0,0,F148),IF(G148&gt;0,0,G148),IF(H148&gt;0,0,H148),IF(I148&gt;0,0,I148),IF(J148&gt;0,0,J148),IF(K148&gt;0,0,K148),IF(L148&gt;0,0,L148))</f>
        <v>-270000</v>
      </c>
    </row>
    <row r="149" spans="1:15" ht="15.75" thickBot="1" x14ac:dyDescent="0.3"/>
    <row r="150" spans="1:15" ht="15.75" thickBot="1" x14ac:dyDescent="0.3">
      <c r="A150" s="3" t="s">
        <v>140</v>
      </c>
      <c r="B150" s="9"/>
      <c r="C150" s="12" t="str">
        <f>C$15</f>
        <v>Nourriture</v>
      </c>
      <c r="D150" s="13" t="str">
        <f t="shared" ref="D150:L150" si="82">D$15</f>
        <v>Bois</v>
      </c>
      <c r="E150" s="13" t="str">
        <f t="shared" si="82"/>
        <v>Fer</v>
      </c>
      <c r="F150" s="13" t="str">
        <f t="shared" si="82"/>
        <v>Cuir</v>
      </c>
      <c r="G150" s="13" t="str">
        <f t="shared" si="82"/>
        <v>Pierre</v>
      </c>
      <c r="H150" s="13" t="str">
        <f t="shared" si="82"/>
        <v>Poterie</v>
      </c>
      <c r="I150" s="13" t="str">
        <f t="shared" si="82"/>
        <v>Tissu</v>
      </c>
      <c r="J150" s="13" t="str">
        <f t="shared" si="82"/>
        <v>Alcool</v>
      </c>
      <c r="K150" s="13" t="str">
        <f t="shared" si="82"/>
        <v>Mithril</v>
      </c>
      <c r="L150" s="14" t="str">
        <f t="shared" si="82"/>
        <v>Gemmes</v>
      </c>
      <c r="M150" s="26" t="s">
        <v>100</v>
      </c>
      <c r="N150" s="27" t="s">
        <v>102</v>
      </c>
    </row>
    <row r="151" spans="1:15" ht="15.75" thickBot="1" x14ac:dyDescent="0.3">
      <c r="A151" t="s">
        <v>140</v>
      </c>
      <c r="B151" s="6"/>
      <c r="C151" s="15"/>
      <c r="D151" s="15"/>
      <c r="E151" s="15">
        <v>70</v>
      </c>
      <c r="F151" s="15"/>
      <c r="G151" s="15">
        <v>40</v>
      </c>
      <c r="H151" s="15"/>
      <c r="I151" s="15"/>
      <c r="J151" s="15"/>
      <c r="K151" s="15">
        <v>100</v>
      </c>
      <c r="L151" s="16"/>
      <c r="M151" s="32">
        <f>C151*C$10+D151*D$10+E151*E$10+F151*F$10+G151*G$10+H151*H$10+I151*I$10+J151*J$10+K151*K$10+L151*L$10-M$11</f>
        <v>60000</v>
      </c>
      <c r="N151" s="33">
        <f>C151*C$10+D151*D$10+E151*E$10+F151*F$10+G151*G$10+H151*H$10+I151*I$10+J151*J$10+K151*K$10+L151*L$10-M$11+60000</f>
        <v>120000</v>
      </c>
    </row>
    <row r="152" spans="1:15" x14ac:dyDescent="0.25">
      <c r="A152" s="5" t="s">
        <v>106</v>
      </c>
      <c r="B152" s="6"/>
      <c r="C152" s="15">
        <f>C151</f>
        <v>0</v>
      </c>
      <c r="D152" s="15">
        <f>D151</f>
        <v>0</v>
      </c>
      <c r="E152" s="15">
        <f t="shared" ref="E152:L152" si="83">E151</f>
        <v>70</v>
      </c>
      <c r="F152" s="15">
        <f t="shared" si="83"/>
        <v>0</v>
      </c>
      <c r="G152" s="15">
        <f t="shared" si="83"/>
        <v>40</v>
      </c>
      <c r="H152" s="15">
        <f t="shared" si="83"/>
        <v>0</v>
      </c>
      <c r="I152" s="15">
        <f t="shared" si="83"/>
        <v>0</v>
      </c>
      <c r="J152" s="15">
        <f t="shared" si="83"/>
        <v>0</v>
      </c>
      <c r="K152" s="15">
        <f t="shared" si="83"/>
        <v>100</v>
      </c>
      <c r="L152" s="15">
        <f t="shared" si="83"/>
        <v>0</v>
      </c>
      <c r="M152" s="32"/>
      <c r="N152" s="33"/>
    </row>
    <row r="153" spans="1:15" x14ac:dyDescent="0.25">
      <c r="A153" t="s">
        <v>93</v>
      </c>
      <c r="B153" s="11">
        <v>1</v>
      </c>
      <c r="C153" s="17">
        <f>C9*$B153</f>
        <v>15</v>
      </c>
      <c r="D153" s="17">
        <f>D9*$B153</f>
        <v>15</v>
      </c>
      <c r="E153" s="17">
        <f t="shared" ref="E153:K153" si="84">E9*$B153</f>
        <v>15</v>
      </c>
      <c r="F153" s="17">
        <f t="shared" si="84"/>
        <v>15</v>
      </c>
      <c r="G153" s="17">
        <f t="shared" si="84"/>
        <v>15</v>
      </c>
      <c r="H153" s="17">
        <f t="shared" si="84"/>
        <v>15</v>
      </c>
      <c r="I153" s="17">
        <f t="shared" si="84"/>
        <v>15</v>
      </c>
      <c r="J153" s="17">
        <f t="shared" si="84"/>
        <v>15</v>
      </c>
      <c r="K153" s="17">
        <f t="shared" si="84"/>
        <v>15</v>
      </c>
      <c r="L153" s="18">
        <f>L9*$B153</f>
        <v>15</v>
      </c>
      <c r="M153" s="34"/>
      <c r="N153" s="24"/>
    </row>
    <row r="154" spans="1:15" ht="15.75" thickBot="1" x14ac:dyDescent="0.3">
      <c r="A154" t="s">
        <v>96</v>
      </c>
      <c r="B154" s="7"/>
      <c r="C154" s="23">
        <f>C152-C153</f>
        <v>-15</v>
      </c>
      <c r="D154" s="23">
        <f t="shared" ref="D154:L154" si="85">D152-D153</f>
        <v>-15</v>
      </c>
      <c r="E154" s="23">
        <f t="shared" si="85"/>
        <v>55</v>
      </c>
      <c r="F154" s="23">
        <f t="shared" si="85"/>
        <v>-15</v>
      </c>
      <c r="G154" s="23">
        <f t="shared" si="85"/>
        <v>25</v>
      </c>
      <c r="H154" s="23">
        <f t="shared" si="85"/>
        <v>-15</v>
      </c>
      <c r="I154" s="23">
        <f t="shared" si="85"/>
        <v>-15</v>
      </c>
      <c r="J154" s="23">
        <f t="shared" si="85"/>
        <v>-15</v>
      </c>
      <c r="K154" s="23">
        <f t="shared" si="85"/>
        <v>85</v>
      </c>
      <c r="L154" s="23">
        <f t="shared" si="85"/>
        <v>-15</v>
      </c>
      <c r="M154" s="34"/>
      <c r="N154" s="29"/>
    </row>
    <row r="155" spans="1:15" ht="15.75" thickBot="1" x14ac:dyDescent="0.3">
      <c r="A155" s="4" t="s">
        <v>94</v>
      </c>
      <c r="B155" s="9"/>
      <c r="C155" s="25">
        <f>C154*C10</f>
        <v>-15000</v>
      </c>
      <c r="D155" s="25">
        <f t="shared" ref="D155:L155" si="86">D154*D10</f>
        <v>-15000</v>
      </c>
      <c r="E155" s="25">
        <f t="shared" si="86"/>
        <v>55000</v>
      </c>
      <c r="F155" s="25">
        <f t="shared" si="86"/>
        <v>-15000</v>
      </c>
      <c r="G155" s="25">
        <f t="shared" si="86"/>
        <v>25000</v>
      </c>
      <c r="H155" s="25">
        <f t="shared" si="86"/>
        <v>-15000</v>
      </c>
      <c r="I155" s="25">
        <f t="shared" si="86"/>
        <v>-15000</v>
      </c>
      <c r="J155" s="25">
        <f t="shared" si="86"/>
        <v>-15000</v>
      </c>
      <c r="K155" s="25">
        <f t="shared" si="86"/>
        <v>85000</v>
      </c>
      <c r="L155" s="25">
        <f t="shared" si="86"/>
        <v>-15000</v>
      </c>
      <c r="M155" s="36">
        <f>SUM(C155:L155)</f>
        <v>60000</v>
      </c>
      <c r="N155" s="30">
        <f>SUM(C155:L155)+60000</f>
        <v>120000</v>
      </c>
      <c r="O155" s="74">
        <f>SUM(IF(C155&gt;0,0,C155),IF(D155&gt;0,0,D155),IF(E155&gt;0,0,E155),IF(F155&gt;0,0,F155),IF(G155&gt;0,0,G155),IF(H155&gt;0,0,H155),IF(I155&gt;0,0,I155),IF(J155&gt;0,0,J155),IF(K155&gt;0,0,K155),IF(L155&gt;0,0,L155))</f>
        <v>-105000</v>
      </c>
    </row>
    <row r="156" spans="1:15" ht="15.75" thickBot="1" x14ac:dyDescent="0.3"/>
    <row r="157" spans="1:15" ht="15.75" thickBot="1" x14ac:dyDescent="0.3">
      <c r="A157" s="3" t="s">
        <v>112</v>
      </c>
      <c r="B157" s="9"/>
      <c r="C157" s="12" t="str">
        <f>C$15</f>
        <v>Nourriture</v>
      </c>
      <c r="D157" s="13" t="str">
        <f t="shared" ref="D157:L157" si="87">D$15</f>
        <v>Bois</v>
      </c>
      <c r="E157" s="13" t="str">
        <f t="shared" si="87"/>
        <v>Fer</v>
      </c>
      <c r="F157" s="13" t="str">
        <f t="shared" si="87"/>
        <v>Cuir</v>
      </c>
      <c r="G157" s="13" t="str">
        <f t="shared" si="87"/>
        <v>Pierre</v>
      </c>
      <c r="H157" s="13" t="str">
        <f t="shared" si="87"/>
        <v>Poterie</v>
      </c>
      <c r="I157" s="13" t="str">
        <f t="shared" si="87"/>
        <v>Tissu</v>
      </c>
      <c r="J157" s="13" t="str">
        <f t="shared" si="87"/>
        <v>Alcool</v>
      </c>
      <c r="K157" s="13" t="str">
        <f t="shared" si="87"/>
        <v>Mithril</v>
      </c>
      <c r="L157" s="14" t="str">
        <f t="shared" si="87"/>
        <v>Gemmes</v>
      </c>
    </row>
    <row r="158" spans="1:15" x14ac:dyDescent="0.25">
      <c r="A158" s="58" t="s">
        <v>22</v>
      </c>
      <c r="B158" s="5"/>
      <c r="C158" s="52" t="s">
        <v>116</v>
      </c>
      <c r="D158" s="50" t="s">
        <v>118</v>
      </c>
      <c r="E158" s="51" t="s">
        <v>117</v>
      </c>
      <c r="F158" s="50" t="s">
        <v>116</v>
      </c>
      <c r="G158" s="51" t="s">
        <v>118</v>
      </c>
      <c r="H158" s="50" t="s">
        <v>117</v>
      </c>
      <c r="I158" s="51" t="s">
        <v>114</v>
      </c>
      <c r="J158" s="50" t="s">
        <v>117</v>
      </c>
      <c r="K158" s="51" t="s">
        <v>115</v>
      </c>
      <c r="L158" s="54" t="s">
        <v>113</v>
      </c>
    </row>
    <row r="159" spans="1:15" ht="15.75" thickBot="1" x14ac:dyDescent="0.3">
      <c r="A159" s="42" t="s">
        <v>119</v>
      </c>
      <c r="B159" s="42"/>
      <c r="C159" s="47">
        <f t="shared" ref="C159:L159" si="88">(C26*C10)/(C11*$B25)</f>
        <v>0.16666666666666666</v>
      </c>
      <c r="D159" s="48">
        <f t="shared" si="88"/>
        <v>-0.41666666666666669</v>
      </c>
      <c r="E159" s="49">
        <f t="shared" si="88"/>
        <v>-1</v>
      </c>
      <c r="F159" s="48">
        <f t="shared" si="88"/>
        <v>8.3333333333333329E-2</v>
      </c>
      <c r="G159" s="49">
        <f t="shared" si="88"/>
        <v>-0.75</v>
      </c>
      <c r="H159" s="48">
        <f t="shared" si="88"/>
        <v>-1</v>
      </c>
      <c r="I159" s="49">
        <f t="shared" si="88"/>
        <v>1.8333333333333333</v>
      </c>
      <c r="J159" s="48">
        <f t="shared" si="88"/>
        <v>-1</v>
      </c>
      <c r="K159" s="49">
        <f t="shared" si="88"/>
        <v>1</v>
      </c>
      <c r="L159" s="53">
        <f t="shared" si="88"/>
        <v>2.75</v>
      </c>
    </row>
    <row r="160" spans="1:15" x14ac:dyDescent="0.25">
      <c r="A160" s="56" t="s">
        <v>23</v>
      </c>
      <c r="B160" s="43"/>
      <c r="C160" s="52" t="s">
        <v>118</v>
      </c>
      <c r="D160" s="50" t="s">
        <v>115</v>
      </c>
      <c r="E160" s="51" t="s">
        <v>116</v>
      </c>
      <c r="F160" s="50" t="s">
        <v>116</v>
      </c>
      <c r="G160" s="51" t="s">
        <v>113</v>
      </c>
      <c r="H160" s="50" t="s">
        <v>117</v>
      </c>
      <c r="I160" s="51" t="s">
        <v>117</v>
      </c>
      <c r="J160" s="50" t="s">
        <v>117</v>
      </c>
      <c r="K160" s="51" t="s">
        <v>114</v>
      </c>
      <c r="L160" s="54" t="s">
        <v>117</v>
      </c>
    </row>
    <row r="161" spans="1:12" ht="15.75" thickBot="1" x14ac:dyDescent="0.3">
      <c r="A161" s="42" t="s">
        <v>119</v>
      </c>
      <c r="B161" s="42"/>
      <c r="C161" s="47">
        <f t="shared" ref="C161:L161" si="89">(C40*C10)/(C11*$B39)</f>
        <v>-0.41666666666666669</v>
      </c>
      <c r="D161" s="48">
        <f t="shared" si="89"/>
        <v>0.75</v>
      </c>
      <c r="E161" s="49">
        <f t="shared" si="89"/>
        <v>0.58333333333333337</v>
      </c>
      <c r="F161" s="48">
        <f t="shared" si="89"/>
        <v>0.16666666666666666</v>
      </c>
      <c r="G161" s="49">
        <f t="shared" si="89"/>
        <v>3</v>
      </c>
      <c r="H161" s="48">
        <f t="shared" si="89"/>
        <v>-1</v>
      </c>
      <c r="I161" s="49">
        <f t="shared" si="89"/>
        <v>-1</v>
      </c>
      <c r="J161" s="48">
        <f t="shared" si="89"/>
        <v>-1</v>
      </c>
      <c r="K161" s="49">
        <f t="shared" si="89"/>
        <v>1.5833333333333333</v>
      </c>
      <c r="L161" s="53">
        <f t="shared" si="89"/>
        <v>-1</v>
      </c>
    </row>
    <row r="162" spans="1:12" x14ac:dyDescent="0.25">
      <c r="A162" s="57" t="s">
        <v>24</v>
      </c>
      <c r="B162" s="39"/>
      <c r="C162" s="52" t="s">
        <v>113</v>
      </c>
      <c r="D162" s="50" t="s">
        <v>114</v>
      </c>
      <c r="E162" s="51" t="s">
        <v>116</v>
      </c>
      <c r="F162" s="50" t="s">
        <v>118</v>
      </c>
      <c r="G162" s="51" t="s">
        <v>117</v>
      </c>
      <c r="H162" s="50" t="s">
        <v>118</v>
      </c>
      <c r="I162" s="51" t="s">
        <v>116</v>
      </c>
      <c r="J162" s="50" t="s">
        <v>115</v>
      </c>
      <c r="K162" s="51" t="s">
        <v>117</v>
      </c>
      <c r="L162" s="54" t="s">
        <v>118</v>
      </c>
    </row>
    <row r="163" spans="1:12" ht="15.75" thickBot="1" x14ac:dyDescent="0.3">
      <c r="A163" s="42" t="s">
        <v>119</v>
      </c>
      <c r="B163" s="39"/>
      <c r="C163" s="47">
        <f>(C55*C10)/(C11*$B54)</f>
        <v>2.4814814814814814</v>
      </c>
      <c r="D163" s="48">
        <f t="shared" ref="D163:L163" si="90">(D55*D10)/(D11*$B54)</f>
        <v>1.7407407407407407</v>
      </c>
      <c r="E163" s="49">
        <f t="shared" si="90"/>
        <v>0.48148148148148145</v>
      </c>
      <c r="F163" s="48">
        <f t="shared" si="90"/>
        <v>-0.70370370370370372</v>
      </c>
      <c r="G163" s="49">
        <f t="shared" si="90"/>
        <v>-1</v>
      </c>
      <c r="H163" s="48">
        <f t="shared" si="90"/>
        <v>-0.55555555555555558</v>
      </c>
      <c r="I163" s="49">
        <f t="shared" si="90"/>
        <v>0.1111111111111111</v>
      </c>
      <c r="J163" s="48">
        <f t="shared" si="90"/>
        <v>0.77777777777777779</v>
      </c>
      <c r="K163" s="49">
        <f t="shared" si="90"/>
        <v>-1</v>
      </c>
      <c r="L163" s="53">
        <f t="shared" si="90"/>
        <v>-0.70370370370370372</v>
      </c>
    </row>
    <row r="164" spans="1:12" x14ac:dyDescent="0.25">
      <c r="A164" s="56" t="s">
        <v>33</v>
      </c>
      <c r="B164" s="43"/>
      <c r="C164" s="52" t="s">
        <v>118</v>
      </c>
      <c r="D164" s="50" t="s">
        <v>116</v>
      </c>
      <c r="E164" s="51" t="s">
        <v>118</v>
      </c>
      <c r="F164" s="50" t="s">
        <v>115</v>
      </c>
      <c r="G164" s="51" t="s">
        <v>117</v>
      </c>
      <c r="H164" s="50" t="s">
        <v>114</v>
      </c>
      <c r="I164" s="51" t="s">
        <v>117</v>
      </c>
      <c r="J164" s="50" t="s">
        <v>113</v>
      </c>
      <c r="K164" s="51" t="s">
        <v>117</v>
      </c>
      <c r="L164" s="54" t="s">
        <v>116</v>
      </c>
    </row>
    <row r="165" spans="1:12" ht="15.75" thickBot="1" x14ac:dyDescent="0.3">
      <c r="A165" s="42" t="s">
        <v>119</v>
      </c>
      <c r="B165" s="42"/>
      <c r="C165" s="47">
        <f>(C68*C10)/(C11*$B67)</f>
        <v>-0.7142857142857143</v>
      </c>
      <c r="D165" s="48">
        <f t="shared" ref="D165:L165" si="91">(D68*D10)/(D11*$B67)</f>
        <v>0.42857142857142855</v>
      </c>
      <c r="E165" s="49">
        <f t="shared" si="91"/>
        <v>-0.42857142857142855</v>
      </c>
      <c r="F165" s="48">
        <f t="shared" si="91"/>
        <v>0.90476190476190477</v>
      </c>
      <c r="G165" s="49">
        <f t="shared" si="91"/>
        <v>-1</v>
      </c>
      <c r="H165" s="48">
        <f t="shared" si="91"/>
        <v>1.5714285714285714</v>
      </c>
      <c r="I165" s="49">
        <f t="shared" si="91"/>
        <v>-1</v>
      </c>
      <c r="J165" s="48">
        <f t="shared" si="91"/>
        <v>2.9047619047619047</v>
      </c>
      <c r="K165" s="49">
        <f t="shared" si="91"/>
        <v>-1</v>
      </c>
      <c r="L165" s="53">
        <f t="shared" si="91"/>
        <v>4.7619047619047616E-2</v>
      </c>
    </row>
    <row r="166" spans="1:12" x14ac:dyDescent="0.25">
      <c r="A166" s="57" t="s">
        <v>41</v>
      </c>
      <c r="B166" s="39"/>
      <c r="C166" s="52" t="s">
        <v>115</v>
      </c>
      <c r="D166" s="50" t="s">
        <v>113</v>
      </c>
      <c r="E166" s="51" t="s">
        <v>118</v>
      </c>
      <c r="F166" s="50" t="s">
        <v>117</v>
      </c>
      <c r="G166" s="51" t="s">
        <v>116</v>
      </c>
      <c r="H166" s="50" t="s">
        <v>116</v>
      </c>
      <c r="I166" s="51" t="s">
        <v>117</v>
      </c>
      <c r="J166" s="50" t="s">
        <v>117</v>
      </c>
      <c r="K166" s="51" t="s">
        <v>118</v>
      </c>
      <c r="L166" s="54" t="s">
        <v>114</v>
      </c>
    </row>
    <row r="167" spans="1:12" ht="15.75" thickBot="1" x14ac:dyDescent="0.3">
      <c r="A167" s="42" t="s">
        <v>119</v>
      </c>
      <c r="B167" s="39"/>
      <c r="C167" s="47">
        <f>(C82*C10)/(C11*$B81)</f>
        <v>0.83333333333333337</v>
      </c>
      <c r="D167" s="48">
        <f t="shared" ref="D167:L167" si="92">(D82*D10)/(D11*$B81)</f>
        <v>2.5</v>
      </c>
      <c r="E167" s="49">
        <f t="shared" si="92"/>
        <v>-0.83333333333333337</v>
      </c>
      <c r="F167" s="48">
        <f t="shared" si="92"/>
        <v>-1</v>
      </c>
      <c r="G167" s="49">
        <f t="shared" si="92"/>
        <v>0.41666666666666669</v>
      </c>
      <c r="H167" s="48">
        <f t="shared" si="92"/>
        <v>0.5</v>
      </c>
      <c r="I167" s="49">
        <f t="shared" si="92"/>
        <v>-1</v>
      </c>
      <c r="J167" s="48">
        <f t="shared" si="92"/>
        <v>-1</v>
      </c>
      <c r="K167" s="49">
        <f t="shared" si="92"/>
        <v>-0.41666666666666669</v>
      </c>
      <c r="L167" s="53">
        <f t="shared" si="92"/>
        <v>1.6666666666666667</v>
      </c>
    </row>
    <row r="168" spans="1:12" x14ac:dyDescent="0.25">
      <c r="A168" s="56" t="s">
        <v>49</v>
      </c>
      <c r="B168" s="43"/>
      <c r="C168" s="52" t="s">
        <v>117</v>
      </c>
      <c r="D168" s="50" t="s">
        <v>117</v>
      </c>
      <c r="E168" s="51" t="s">
        <v>115</v>
      </c>
      <c r="F168" s="50" t="s">
        <v>113</v>
      </c>
      <c r="G168" s="51" t="s">
        <v>118</v>
      </c>
      <c r="H168" s="50" t="s">
        <v>117</v>
      </c>
      <c r="I168" s="51" t="s">
        <v>116</v>
      </c>
      <c r="J168" s="50" t="s">
        <v>114</v>
      </c>
      <c r="K168" s="51" t="s">
        <v>116</v>
      </c>
      <c r="L168" s="54" t="s">
        <v>117</v>
      </c>
    </row>
    <row r="169" spans="1:12" ht="15.75" thickBot="1" x14ac:dyDescent="0.3">
      <c r="A169" s="42" t="s">
        <v>119</v>
      </c>
      <c r="B169" s="42"/>
      <c r="C169" s="47">
        <f>(C96*C10)/(C11*$B95)</f>
        <v>-1</v>
      </c>
      <c r="D169" s="48">
        <f t="shared" ref="D169:L169" si="93">(D96*D10)/(D11*$B95)</f>
        <v>-1</v>
      </c>
      <c r="E169" s="49">
        <f t="shared" si="93"/>
        <v>1</v>
      </c>
      <c r="F169" s="48">
        <f t="shared" si="93"/>
        <v>2.5833333333333335</v>
      </c>
      <c r="G169" s="49">
        <f t="shared" si="93"/>
        <v>-0.16666666666666666</v>
      </c>
      <c r="H169" s="48">
        <f t="shared" si="93"/>
        <v>-1</v>
      </c>
      <c r="I169" s="49">
        <f t="shared" si="93"/>
        <v>0.25</v>
      </c>
      <c r="J169" s="48">
        <f t="shared" si="93"/>
        <v>1.75</v>
      </c>
      <c r="K169" s="49">
        <f t="shared" si="93"/>
        <v>0.25</v>
      </c>
      <c r="L169" s="53">
        <f t="shared" si="93"/>
        <v>-1</v>
      </c>
    </row>
    <row r="170" spans="1:12" x14ac:dyDescent="0.25">
      <c r="A170" s="57" t="s">
        <v>59</v>
      </c>
      <c r="B170" s="39"/>
      <c r="C170" s="52" t="s">
        <v>118</v>
      </c>
      <c r="D170" s="50" t="s">
        <v>118</v>
      </c>
      <c r="E170" s="51" t="s">
        <v>117</v>
      </c>
      <c r="F170" s="50" t="s">
        <v>114</v>
      </c>
      <c r="G170" s="51" t="s">
        <v>117</v>
      </c>
      <c r="H170" s="50" t="s">
        <v>113</v>
      </c>
      <c r="I170" s="51" t="s">
        <v>115</v>
      </c>
      <c r="J170" s="50" t="s">
        <v>116</v>
      </c>
      <c r="K170" s="51" t="s">
        <v>117</v>
      </c>
      <c r="L170" s="54" t="s">
        <v>116</v>
      </c>
    </row>
    <row r="171" spans="1:12" ht="15.75" thickBot="1" x14ac:dyDescent="0.3">
      <c r="A171" s="42" t="s">
        <v>119</v>
      </c>
      <c r="B171" s="39"/>
      <c r="C171" s="47">
        <f>(C110*C10)/(C11*$B109)</f>
        <v>-0.75</v>
      </c>
      <c r="D171" s="48">
        <f t="shared" ref="D171:L171" si="94">(D110*D10)/(D11*$B109)</f>
        <v>-0.58333333333333337</v>
      </c>
      <c r="E171" s="49">
        <f t="shared" si="94"/>
        <v>-1</v>
      </c>
      <c r="F171" s="48">
        <f t="shared" si="94"/>
        <v>1.9166666666666667</v>
      </c>
      <c r="G171" s="49">
        <f t="shared" si="94"/>
        <v>-1</v>
      </c>
      <c r="H171" s="48">
        <f t="shared" si="94"/>
        <v>2.75</v>
      </c>
      <c r="I171" s="49">
        <f t="shared" si="94"/>
        <v>0.83333333333333337</v>
      </c>
      <c r="J171" s="48">
        <f t="shared" si="94"/>
        <v>0.16666666666666666</v>
      </c>
      <c r="K171" s="49">
        <f t="shared" si="94"/>
        <v>-1</v>
      </c>
      <c r="L171" s="53">
        <f t="shared" si="94"/>
        <v>0.25</v>
      </c>
    </row>
    <row r="172" spans="1:12" x14ac:dyDescent="0.25">
      <c r="A172" s="56" t="s">
        <v>68</v>
      </c>
      <c r="B172" s="43"/>
      <c r="C172" s="52" t="s">
        <v>118</v>
      </c>
      <c r="D172" s="50" t="s">
        <v>117</v>
      </c>
      <c r="E172" s="51" t="s">
        <v>113</v>
      </c>
      <c r="F172" s="50" t="s">
        <v>117</v>
      </c>
      <c r="G172" s="51" t="s">
        <v>114</v>
      </c>
      <c r="H172" s="50" t="s">
        <v>116</v>
      </c>
      <c r="I172" s="51" t="s">
        <v>117</v>
      </c>
      <c r="J172" s="50" t="s">
        <v>118</v>
      </c>
      <c r="K172" s="51" t="s">
        <v>116</v>
      </c>
      <c r="L172" s="54" t="s">
        <v>115</v>
      </c>
    </row>
    <row r="173" spans="1:12" ht="15.75" thickBot="1" x14ac:dyDescent="0.3">
      <c r="A173" s="42" t="s">
        <v>119</v>
      </c>
      <c r="B173" s="42"/>
      <c r="C173" s="47">
        <f>(C124*C10)/(C11*$B123)</f>
        <v>-0.41666666666666669</v>
      </c>
      <c r="D173" s="48">
        <f t="shared" ref="D173:L173" si="95">(D124*D10)/(D11*$B123)</f>
        <v>-1</v>
      </c>
      <c r="E173" s="49">
        <f t="shared" si="95"/>
        <v>2.9166666666666665</v>
      </c>
      <c r="F173" s="48">
        <f t="shared" si="95"/>
        <v>-1</v>
      </c>
      <c r="G173" s="49">
        <f t="shared" si="95"/>
        <v>2</v>
      </c>
      <c r="H173" s="48">
        <f t="shared" si="95"/>
        <v>0.16666666666666666</v>
      </c>
      <c r="I173" s="49">
        <f t="shared" si="95"/>
        <v>-1</v>
      </c>
      <c r="J173" s="48">
        <f t="shared" si="95"/>
        <v>-0.83333333333333337</v>
      </c>
      <c r="K173" s="49">
        <f t="shared" si="95"/>
        <v>0.33333333333333331</v>
      </c>
      <c r="L173" s="53">
        <f t="shared" si="95"/>
        <v>0.5</v>
      </c>
    </row>
    <row r="174" spans="1:12" x14ac:dyDescent="0.25">
      <c r="A174" s="57" t="s">
        <v>77</v>
      </c>
      <c r="B174" s="39"/>
      <c r="C174" s="52" t="s">
        <v>114</v>
      </c>
      <c r="D174" s="50" t="s">
        <v>117</v>
      </c>
      <c r="E174" s="51" t="s">
        <v>117</v>
      </c>
      <c r="F174" s="50" t="s">
        <v>118</v>
      </c>
      <c r="G174" s="51" t="s">
        <v>118</v>
      </c>
      <c r="H174" s="50" t="s">
        <v>115</v>
      </c>
      <c r="I174" s="51" t="s">
        <v>113</v>
      </c>
      <c r="J174" s="50" t="s">
        <v>116</v>
      </c>
      <c r="K174" s="51" t="s">
        <v>117</v>
      </c>
      <c r="L174" s="54" t="s">
        <v>118</v>
      </c>
    </row>
    <row r="175" spans="1:12" ht="15.75" thickBot="1" x14ac:dyDescent="0.3">
      <c r="A175" s="42" t="s">
        <v>119</v>
      </c>
      <c r="B175" s="39"/>
      <c r="C175" s="47">
        <f>(C138*C10)/(C11*$B137)</f>
        <v>1.75</v>
      </c>
      <c r="D175" s="48">
        <f t="shared" ref="D175:L175" si="96">(D138*D10)/(D11*$B137)</f>
        <v>-1</v>
      </c>
      <c r="E175" s="49">
        <f t="shared" si="96"/>
        <v>-1</v>
      </c>
      <c r="F175" s="48">
        <f t="shared" si="96"/>
        <v>-0.41666666666666669</v>
      </c>
      <c r="G175" s="49">
        <f t="shared" si="96"/>
        <v>-0.41666666666666669</v>
      </c>
      <c r="H175" s="48">
        <f t="shared" si="96"/>
        <v>0.75</v>
      </c>
      <c r="I175" s="49">
        <f t="shared" si="96"/>
        <v>2.9166666666666665</v>
      </c>
      <c r="J175" s="48">
        <f t="shared" si="96"/>
        <v>0.58333333333333337</v>
      </c>
      <c r="K175" s="49">
        <f t="shared" si="96"/>
        <v>-0.83333333333333337</v>
      </c>
      <c r="L175" s="53">
        <f t="shared" si="96"/>
        <v>-0.66666666666666663</v>
      </c>
    </row>
    <row r="176" spans="1:12" x14ac:dyDescent="0.25">
      <c r="A176" s="56" t="s">
        <v>86</v>
      </c>
      <c r="B176" s="43"/>
      <c r="C176" s="52" t="s">
        <v>117</v>
      </c>
      <c r="D176" s="50" t="s">
        <v>115</v>
      </c>
      <c r="E176" s="51" t="s">
        <v>114</v>
      </c>
      <c r="F176" s="50" t="s">
        <v>117</v>
      </c>
      <c r="G176" s="51" t="s">
        <v>116</v>
      </c>
      <c r="H176" s="50" t="s">
        <v>117</v>
      </c>
      <c r="I176" s="51" t="s">
        <v>117</v>
      </c>
      <c r="J176" s="50" t="s">
        <v>117</v>
      </c>
      <c r="K176" s="51" t="s">
        <v>113</v>
      </c>
      <c r="L176" s="54" t="s">
        <v>117</v>
      </c>
    </row>
    <row r="177" spans="1:12" ht="15.75" thickBot="1" x14ac:dyDescent="0.3">
      <c r="A177" s="42" t="s">
        <v>119</v>
      </c>
      <c r="B177" s="39"/>
      <c r="C177" s="44">
        <f>(C147*C10)/(C11*$B146)</f>
        <v>-1</v>
      </c>
      <c r="D177" s="45">
        <f t="shared" ref="D177:L177" si="97">(D147*D10)/(D11*$B146)</f>
        <v>1</v>
      </c>
      <c r="E177" s="46">
        <f t="shared" si="97"/>
        <v>2.7777777777777777</v>
      </c>
      <c r="F177" s="45">
        <f t="shared" si="97"/>
        <v>-1</v>
      </c>
      <c r="G177" s="46">
        <f t="shared" si="97"/>
        <v>0.1111111111111111</v>
      </c>
      <c r="H177" s="45">
        <f t="shared" si="97"/>
        <v>-1</v>
      </c>
      <c r="I177" s="46">
        <f t="shared" si="97"/>
        <v>-1</v>
      </c>
      <c r="J177" s="45">
        <f t="shared" si="97"/>
        <v>-1</v>
      </c>
      <c r="K177" s="46">
        <f t="shared" si="97"/>
        <v>4.333333333333333</v>
      </c>
      <c r="L177" s="55">
        <f t="shared" si="97"/>
        <v>-1</v>
      </c>
    </row>
    <row r="178" spans="1:12" x14ac:dyDescent="0.25">
      <c r="A178" s="56" t="s">
        <v>140</v>
      </c>
      <c r="B178" s="43"/>
      <c r="C178" s="52" t="s">
        <v>117</v>
      </c>
      <c r="D178" s="50" t="s">
        <v>117</v>
      </c>
      <c r="E178" s="51" t="s">
        <v>114</v>
      </c>
      <c r="F178" s="50" t="s">
        <v>117</v>
      </c>
      <c r="G178" s="51" t="s">
        <v>115</v>
      </c>
      <c r="H178" s="50" t="s">
        <v>117</v>
      </c>
      <c r="I178" s="51" t="s">
        <v>117</v>
      </c>
      <c r="J178" s="50" t="s">
        <v>117</v>
      </c>
      <c r="K178" s="51" t="s">
        <v>113</v>
      </c>
      <c r="L178" s="54" t="s">
        <v>117</v>
      </c>
    </row>
    <row r="179" spans="1:12" ht="15.75" thickBot="1" x14ac:dyDescent="0.3">
      <c r="A179" s="40" t="s">
        <v>119</v>
      </c>
      <c r="B179" s="40"/>
      <c r="C179" s="44">
        <f>(C154*C10)/(C11*$B153)</f>
        <v>-1</v>
      </c>
      <c r="D179" s="45">
        <f>(D154*D10)/(D11*$B153)</f>
        <v>-1</v>
      </c>
      <c r="E179" s="45">
        <f t="shared" ref="E179:L179" si="98">(E154*E10)/(E11*$B153)</f>
        <v>3.6666666666666665</v>
      </c>
      <c r="F179" s="45">
        <f t="shared" si="98"/>
        <v>-1</v>
      </c>
      <c r="G179" s="45">
        <f t="shared" si="98"/>
        <v>1.6666666666666667</v>
      </c>
      <c r="H179" s="45">
        <f t="shared" si="98"/>
        <v>-1</v>
      </c>
      <c r="I179" s="45">
        <f t="shared" si="98"/>
        <v>-1</v>
      </c>
      <c r="J179" s="45">
        <f t="shared" si="98"/>
        <v>-1</v>
      </c>
      <c r="K179" s="45">
        <f t="shared" si="98"/>
        <v>5.666666666666667</v>
      </c>
      <c r="L179" s="55">
        <f t="shared" si="98"/>
        <v>-1</v>
      </c>
    </row>
    <row r="181" spans="1:12" x14ac:dyDescent="0.25">
      <c r="A181" s="59" t="s">
        <v>120</v>
      </c>
    </row>
    <row r="182" spans="1:12" x14ac:dyDescent="0.25">
      <c r="A182" s="60" t="s">
        <v>123</v>
      </c>
      <c r="B182" t="s">
        <v>124</v>
      </c>
    </row>
    <row r="183" spans="1:12" x14ac:dyDescent="0.25">
      <c r="A183" s="61" t="s">
        <v>125</v>
      </c>
      <c r="B183" t="s">
        <v>126</v>
      </c>
    </row>
    <row r="184" spans="1:12" x14ac:dyDescent="0.25">
      <c r="A184" s="62" t="s">
        <v>127</v>
      </c>
      <c r="B184" t="s">
        <v>128</v>
      </c>
    </row>
    <row r="186" spans="1:12" x14ac:dyDescent="0.25">
      <c r="A186" s="59" t="s">
        <v>121</v>
      </c>
    </row>
    <row r="187" spans="1:12" x14ac:dyDescent="0.25">
      <c r="A187" s="65" t="s">
        <v>134</v>
      </c>
      <c r="B187" t="s">
        <v>129</v>
      </c>
    </row>
    <row r="189" spans="1:12" x14ac:dyDescent="0.25">
      <c r="A189" s="59" t="s">
        <v>122</v>
      </c>
    </row>
    <row r="190" spans="1:12" x14ac:dyDescent="0.25">
      <c r="A190" s="63" t="s">
        <v>130</v>
      </c>
      <c r="B190" t="s">
        <v>131</v>
      </c>
    </row>
    <row r="191" spans="1:12" x14ac:dyDescent="0.25">
      <c r="A191" s="64" t="s">
        <v>132</v>
      </c>
      <c r="B191" t="s">
        <v>133</v>
      </c>
    </row>
  </sheetData>
  <conditionalFormatting sqref="C159:L159">
    <cfRule type="colorScale" priority="112">
      <colorScale>
        <cfvo type="num" val="-1"/>
        <cfvo type="num" val="0"/>
        <cfvo type="num" val="3"/>
        <color rgb="FFFF0000"/>
        <color rgb="FFFFEB84"/>
        <color rgb="FF008000"/>
      </colorScale>
    </cfRule>
    <cfRule type="colorScale" priority="1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1:L161">
    <cfRule type="colorScale" priority="110">
      <colorScale>
        <cfvo type="num" val="-1"/>
        <cfvo type="num" val="0"/>
        <cfvo type="num" val="3"/>
        <color rgb="FFFF0000"/>
        <color rgb="FFFFEB84"/>
        <color rgb="FF008000"/>
      </colorScale>
    </cfRule>
    <cfRule type="colorScale" priority="1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3:L163">
    <cfRule type="colorScale" priority="108">
      <colorScale>
        <cfvo type="num" val="-1"/>
        <cfvo type="num" val="0"/>
        <cfvo type="num" val="3"/>
        <color rgb="FFFF0000"/>
        <color rgb="FFFFEB84"/>
        <color rgb="FF008000"/>
      </colorScale>
    </cfRule>
    <cfRule type="colorScale" priority="1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5:L165">
    <cfRule type="colorScale" priority="104">
      <colorScale>
        <cfvo type="num" val="-1"/>
        <cfvo type="num" val="0"/>
        <cfvo type="num" val="3"/>
        <color rgb="FFFF0000"/>
        <color rgb="FFFFEB84"/>
        <color rgb="FF008000"/>
      </colorScale>
    </cfRule>
    <cfRule type="colorScale" priority="1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7:L167">
    <cfRule type="colorScale" priority="102">
      <colorScale>
        <cfvo type="num" val="-1"/>
        <cfvo type="num" val="0"/>
        <cfvo type="num" val="3"/>
        <color rgb="FFFF0000"/>
        <color rgb="FFFFEB84"/>
        <color rgb="FF008000"/>
      </colorScale>
    </cfRule>
    <cfRule type="colorScale" priority="1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9:L169">
    <cfRule type="colorScale" priority="100">
      <colorScale>
        <cfvo type="num" val="-1"/>
        <cfvo type="num" val="0"/>
        <cfvo type="num" val="3"/>
        <color rgb="FFFF0000"/>
        <color rgb="FFFFEB84"/>
        <color rgb="FF008000"/>
      </colorScale>
    </cfRule>
    <cfRule type="colorScale" priority="1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71:L171">
    <cfRule type="colorScale" priority="98">
      <colorScale>
        <cfvo type="num" val="-1"/>
        <cfvo type="num" val="0"/>
        <cfvo type="num" val="3"/>
        <color rgb="FFFF0000"/>
        <color rgb="FFFFEB84"/>
        <color rgb="FF008000"/>
      </colorScale>
    </cfRule>
    <cfRule type="colorScale" priority="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73:L173">
    <cfRule type="colorScale" priority="96">
      <colorScale>
        <cfvo type="num" val="-1"/>
        <cfvo type="num" val="0"/>
        <cfvo type="num" val="3"/>
        <color rgb="FFFF0000"/>
        <color rgb="FFFFEB84"/>
        <color rgb="FF008000"/>
      </colorScale>
    </cfRule>
    <cfRule type="colorScale" priority="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75:L175">
    <cfRule type="colorScale" priority="94">
      <colorScale>
        <cfvo type="num" val="-1"/>
        <cfvo type="num" val="0"/>
        <cfvo type="num" val="3"/>
        <color rgb="FFFF0000"/>
        <color rgb="FFFFEB84"/>
        <color rgb="FF008000"/>
      </colorScale>
    </cfRule>
    <cfRule type="colorScale" priority="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77:L177">
    <cfRule type="colorScale" priority="92">
      <colorScale>
        <cfvo type="num" val="-1"/>
        <cfvo type="num" val="0"/>
        <cfvo type="num" val="3"/>
        <color rgb="FFFF8080"/>
        <color rgb="FFFFEB84"/>
        <color rgb="FF00FF00"/>
      </colorScale>
    </cfRule>
    <cfRule type="colorScale" priority="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59:L159 C161:L161 C163:L163 C165:L165 C167:L167 C169:L169 C171:L171 C173:L173 C175:L175 C177:L177">
    <cfRule type="colorScale" priority="91">
      <colorScale>
        <cfvo type="num" val="-1"/>
        <cfvo type="num" val="0"/>
        <cfvo type="num" val="3"/>
        <color rgb="FFF8696B"/>
        <color rgb="FFFFEB84"/>
        <color rgb="FF63BE7B"/>
      </colorScale>
    </cfRule>
  </conditionalFormatting>
  <conditionalFormatting sqref="C158:L158">
    <cfRule type="containsText" dxfId="172" priority="84" operator="containsText" text="Secondaire">
      <formula>NOT(ISERROR(SEARCH("Secondaire",C158)))</formula>
    </cfRule>
    <cfRule type="containsText" dxfId="171" priority="85" operator="containsText" text="Tertiaire">
      <formula>NOT(ISERROR(SEARCH("Tertiaire",C158)))</formula>
    </cfRule>
    <cfRule type="containsText" dxfId="170" priority="86" operator="containsText" text="Secondaire">
      <formula>NOT(ISERROR(SEARCH("Secondaire",C158)))</formula>
    </cfRule>
    <cfRule type="containsText" dxfId="169" priority="87" operator="containsText" text="Primaire">
      <formula>NOT(ISERROR(SEARCH("Primaire",C158)))</formula>
    </cfRule>
    <cfRule type="containsText" dxfId="168" priority="88" operator="containsText" text="Non produit">
      <formula>NOT(ISERROR(SEARCH("Non produit",C158)))</formula>
    </cfRule>
    <cfRule type="containsText" dxfId="167" priority="89" operator="containsText" text="Peu produit">
      <formula>NOT(ISERROR(SEARCH("Peu produit",C158)))</formula>
    </cfRule>
    <cfRule type="containsText" dxfId="166" priority="90" operator="containsText" text="Autosuffit">
      <formula>NOT(ISERROR(SEARCH("Autosuffit",C158)))</formula>
    </cfRule>
  </conditionalFormatting>
  <conditionalFormatting sqref="C176:L176">
    <cfRule type="containsText" dxfId="165" priority="14" operator="containsText" text="Secondaire">
      <formula>NOT(ISERROR(SEARCH("Secondaire",C176)))</formula>
    </cfRule>
    <cfRule type="containsText" dxfId="164" priority="15" operator="containsText" text="Tertiaire">
      <formula>NOT(ISERROR(SEARCH("Tertiaire",C176)))</formula>
    </cfRule>
    <cfRule type="containsText" dxfId="163" priority="16" operator="containsText" text="Secondaire">
      <formula>NOT(ISERROR(SEARCH("Secondaire",C176)))</formula>
    </cfRule>
    <cfRule type="containsText" dxfId="162" priority="17" operator="containsText" text="Primaire">
      <formula>NOT(ISERROR(SEARCH("Primaire",C176)))</formula>
    </cfRule>
    <cfRule type="containsText" dxfId="161" priority="18" operator="containsText" text="Non produit">
      <formula>NOT(ISERROR(SEARCH("Non produit",C176)))</formula>
    </cfRule>
    <cfRule type="containsText" dxfId="160" priority="19" operator="containsText" text="Peu produit">
      <formula>NOT(ISERROR(SEARCH("Peu produit",C176)))</formula>
    </cfRule>
    <cfRule type="containsText" dxfId="159" priority="20" operator="containsText" text="Autosuffit">
      <formula>NOT(ISERROR(SEARCH("Autosuffit",C176)))</formula>
    </cfRule>
  </conditionalFormatting>
  <conditionalFormatting sqref="C160:L160">
    <cfRule type="containsText" dxfId="158" priority="77" operator="containsText" text="Secondaire">
      <formula>NOT(ISERROR(SEARCH("Secondaire",C160)))</formula>
    </cfRule>
    <cfRule type="containsText" dxfId="157" priority="78" operator="containsText" text="Tertiaire">
      <formula>NOT(ISERROR(SEARCH("Tertiaire",C160)))</formula>
    </cfRule>
    <cfRule type="containsText" dxfId="156" priority="79" operator="containsText" text="Secondaire">
      <formula>NOT(ISERROR(SEARCH("Secondaire",C160)))</formula>
    </cfRule>
    <cfRule type="containsText" dxfId="155" priority="80" operator="containsText" text="Primaire">
      <formula>NOT(ISERROR(SEARCH("Primaire",C160)))</formula>
    </cfRule>
    <cfRule type="containsText" dxfId="154" priority="81" operator="containsText" text="Non produit">
      <formula>NOT(ISERROR(SEARCH("Non produit",C160)))</formula>
    </cfRule>
    <cfRule type="containsText" dxfId="153" priority="82" operator="containsText" text="Peu produit">
      <formula>NOT(ISERROR(SEARCH("Peu produit",C160)))</formula>
    </cfRule>
    <cfRule type="containsText" dxfId="152" priority="83" operator="containsText" text="Autosuffit">
      <formula>NOT(ISERROR(SEARCH("Autosuffit",C160)))</formula>
    </cfRule>
  </conditionalFormatting>
  <conditionalFormatting sqref="C162:L162">
    <cfRule type="containsText" dxfId="151" priority="70" operator="containsText" text="Secondaire">
      <formula>NOT(ISERROR(SEARCH("Secondaire",C162)))</formula>
    </cfRule>
    <cfRule type="containsText" dxfId="150" priority="71" operator="containsText" text="Tertiaire">
      <formula>NOT(ISERROR(SEARCH("Tertiaire",C162)))</formula>
    </cfRule>
    <cfRule type="containsText" dxfId="149" priority="72" operator="containsText" text="Secondaire">
      <formula>NOT(ISERROR(SEARCH("Secondaire",C162)))</formula>
    </cfRule>
    <cfRule type="containsText" dxfId="148" priority="73" operator="containsText" text="Primaire">
      <formula>NOT(ISERROR(SEARCH("Primaire",C162)))</formula>
    </cfRule>
    <cfRule type="containsText" dxfId="147" priority="74" operator="containsText" text="Non produit">
      <formula>NOT(ISERROR(SEARCH("Non produit",C162)))</formula>
    </cfRule>
    <cfRule type="containsText" dxfId="146" priority="75" operator="containsText" text="Peu produit">
      <formula>NOT(ISERROR(SEARCH("Peu produit",C162)))</formula>
    </cfRule>
    <cfRule type="containsText" dxfId="145" priority="76" operator="containsText" text="Autosuffit">
      <formula>NOT(ISERROR(SEARCH("Autosuffit",C162)))</formula>
    </cfRule>
  </conditionalFormatting>
  <conditionalFormatting sqref="C164:L164">
    <cfRule type="containsText" dxfId="144" priority="63" operator="containsText" text="Secondaire">
      <formula>NOT(ISERROR(SEARCH("Secondaire",C164)))</formula>
    </cfRule>
    <cfRule type="containsText" dxfId="143" priority="64" operator="containsText" text="Tertiaire">
      <formula>NOT(ISERROR(SEARCH("Tertiaire",C164)))</formula>
    </cfRule>
    <cfRule type="containsText" dxfId="142" priority="65" operator="containsText" text="Secondaire">
      <formula>NOT(ISERROR(SEARCH("Secondaire",C164)))</formula>
    </cfRule>
    <cfRule type="containsText" dxfId="141" priority="66" operator="containsText" text="Primaire">
      <formula>NOT(ISERROR(SEARCH("Primaire",C164)))</formula>
    </cfRule>
    <cfRule type="containsText" dxfId="140" priority="67" operator="containsText" text="Non produit">
      <formula>NOT(ISERROR(SEARCH("Non produit",C164)))</formula>
    </cfRule>
    <cfRule type="containsText" dxfId="139" priority="68" operator="containsText" text="Peu produit">
      <formula>NOT(ISERROR(SEARCH("Peu produit",C164)))</formula>
    </cfRule>
    <cfRule type="containsText" dxfId="138" priority="69" operator="containsText" text="Autosuffit">
      <formula>NOT(ISERROR(SEARCH("Autosuffit",C164)))</formula>
    </cfRule>
  </conditionalFormatting>
  <conditionalFormatting sqref="C166:L166">
    <cfRule type="containsText" dxfId="137" priority="56" operator="containsText" text="Secondaire">
      <formula>NOT(ISERROR(SEARCH("Secondaire",C166)))</formula>
    </cfRule>
    <cfRule type="containsText" dxfId="136" priority="57" operator="containsText" text="Tertiaire">
      <formula>NOT(ISERROR(SEARCH("Tertiaire",C166)))</formula>
    </cfRule>
    <cfRule type="containsText" dxfId="135" priority="58" operator="containsText" text="Secondaire">
      <formula>NOT(ISERROR(SEARCH("Secondaire",C166)))</formula>
    </cfRule>
    <cfRule type="containsText" dxfId="134" priority="59" operator="containsText" text="Primaire">
      <formula>NOT(ISERROR(SEARCH("Primaire",C166)))</formula>
    </cfRule>
    <cfRule type="containsText" dxfId="133" priority="60" operator="containsText" text="Non produit">
      <formula>NOT(ISERROR(SEARCH("Non produit",C166)))</formula>
    </cfRule>
    <cfRule type="containsText" dxfId="132" priority="61" operator="containsText" text="Peu produit">
      <formula>NOT(ISERROR(SEARCH("Peu produit",C166)))</formula>
    </cfRule>
    <cfRule type="containsText" dxfId="131" priority="62" operator="containsText" text="Autosuffit">
      <formula>NOT(ISERROR(SEARCH("Autosuffit",C166)))</formula>
    </cfRule>
  </conditionalFormatting>
  <conditionalFormatting sqref="C168:L168">
    <cfRule type="containsText" dxfId="130" priority="49" operator="containsText" text="Secondaire">
      <formula>NOT(ISERROR(SEARCH("Secondaire",C168)))</formula>
    </cfRule>
    <cfRule type="containsText" dxfId="129" priority="50" operator="containsText" text="Tertiaire">
      <formula>NOT(ISERROR(SEARCH("Tertiaire",C168)))</formula>
    </cfRule>
    <cfRule type="containsText" dxfId="128" priority="51" operator="containsText" text="Secondaire">
      <formula>NOT(ISERROR(SEARCH("Secondaire",C168)))</formula>
    </cfRule>
    <cfRule type="containsText" dxfId="127" priority="52" operator="containsText" text="Primaire">
      <formula>NOT(ISERROR(SEARCH("Primaire",C168)))</formula>
    </cfRule>
    <cfRule type="containsText" dxfId="126" priority="53" operator="containsText" text="Non produit">
      <formula>NOT(ISERROR(SEARCH("Non produit",C168)))</formula>
    </cfRule>
    <cfRule type="containsText" dxfId="125" priority="54" operator="containsText" text="Peu produit">
      <formula>NOT(ISERROR(SEARCH("Peu produit",C168)))</formula>
    </cfRule>
    <cfRule type="containsText" dxfId="124" priority="55" operator="containsText" text="Autosuffit">
      <formula>NOT(ISERROR(SEARCH("Autosuffit",C168)))</formula>
    </cfRule>
  </conditionalFormatting>
  <conditionalFormatting sqref="C170:L170">
    <cfRule type="containsText" dxfId="123" priority="42" operator="containsText" text="Secondaire">
      <formula>NOT(ISERROR(SEARCH("Secondaire",C170)))</formula>
    </cfRule>
    <cfRule type="containsText" dxfId="122" priority="43" operator="containsText" text="Tertiaire">
      <formula>NOT(ISERROR(SEARCH("Tertiaire",C170)))</formula>
    </cfRule>
    <cfRule type="containsText" dxfId="121" priority="44" operator="containsText" text="Secondaire">
      <formula>NOT(ISERROR(SEARCH("Secondaire",C170)))</formula>
    </cfRule>
    <cfRule type="containsText" dxfId="120" priority="45" operator="containsText" text="Primaire">
      <formula>NOT(ISERROR(SEARCH("Primaire",C170)))</formula>
    </cfRule>
    <cfRule type="containsText" dxfId="119" priority="46" operator="containsText" text="Non produit">
      <formula>NOT(ISERROR(SEARCH("Non produit",C170)))</formula>
    </cfRule>
    <cfRule type="containsText" dxfId="118" priority="47" operator="containsText" text="Peu produit">
      <formula>NOT(ISERROR(SEARCH("Peu produit",C170)))</formula>
    </cfRule>
    <cfRule type="containsText" dxfId="117" priority="48" operator="containsText" text="Autosuffit">
      <formula>NOT(ISERROR(SEARCH("Autosuffit",C170)))</formula>
    </cfRule>
  </conditionalFormatting>
  <conditionalFormatting sqref="C172:L172">
    <cfRule type="containsText" dxfId="116" priority="28" operator="containsText" text="Secondaire">
      <formula>NOT(ISERROR(SEARCH("Secondaire",C172)))</formula>
    </cfRule>
    <cfRule type="containsText" dxfId="115" priority="29" operator="containsText" text="Tertiaire">
      <formula>NOT(ISERROR(SEARCH("Tertiaire",C172)))</formula>
    </cfRule>
    <cfRule type="containsText" dxfId="114" priority="30" operator="containsText" text="Secondaire">
      <formula>NOT(ISERROR(SEARCH("Secondaire",C172)))</formula>
    </cfRule>
    <cfRule type="containsText" dxfId="113" priority="31" operator="containsText" text="Primaire">
      <formula>NOT(ISERROR(SEARCH("Primaire",C172)))</formula>
    </cfRule>
    <cfRule type="containsText" dxfId="112" priority="32" operator="containsText" text="Non produit">
      <formula>NOT(ISERROR(SEARCH("Non produit",C172)))</formula>
    </cfRule>
    <cfRule type="containsText" dxfId="111" priority="33" operator="containsText" text="Peu produit">
      <formula>NOT(ISERROR(SEARCH("Peu produit",C172)))</formula>
    </cfRule>
    <cfRule type="containsText" dxfId="110" priority="34" operator="containsText" text="Autosuffit">
      <formula>NOT(ISERROR(SEARCH("Autosuffit",C172)))</formula>
    </cfRule>
  </conditionalFormatting>
  <conditionalFormatting sqref="C174:L174">
    <cfRule type="containsText" dxfId="109" priority="21" operator="containsText" text="Secondaire">
      <formula>NOT(ISERROR(SEARCH("Secondaire",C174)))</formula>
    </cfRule>
    <cfRule type="containsText" dxfId="108" priority="22" operator="containsText" text="Tertiaire">
      <formula>NOT(ISERROR(SEARCH("Tertiaire",C174)))</formula>
    </cfRule>
    <cfRule type="containsText" dxfId="107" priority="23" operator="containsText" text="Secondaire">
      <formula>NOT(ISERROR(SEARCH("Secondaire",C174)))</formula>
    </cfRule>
    <cfRule type="containsText" dxfId="106" priority="24" operator="containsText" text="Primaire">
      <formula>NOT(ISERROR(SEARCH("Primaire",C174)))</formula>
    </cfRule>
    <cfRule type="containsText" dxfId="105" priority="25" operator="containsText" text="Non produit">
      <formula>NOT(ISERROR(SEARCH("Non produit",C174)))</formula>
    </cfRule>
    <cfRule type="containsText" dxfId="104" priority="26" operator="containsText" text="Peu produit">
      <formula>NOT(ISERROR(SEARCH("Peu produit",C174)))</formula>
    </cfRule>
    <cfRule type="containsText" dxfId="103" priority="27" operator="containsText" text="Autosuffit">
      <formula>NOT(ISERROR(SEARCH("Autosuffit",C174)))</formula>
    </cfRule>
  </conditionalFormatting>
  <conditionalFormatting sqref="C179">
    <cfRule type="colorScale" priority="12">
      <colorScale>
        <cfvo type="num" val="-1"/>
        <cfvo type="num" val="0"/>
        <cfvo type="num" val="3"/>
        <color rgb="FFFF8080"/>
        <color rgb="FFFFEB84"/>
        <color rgb="FF00FF00"/>
      </colorScale>
    </cfRule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79">
    <cfRule type="colorScale" priority="11">
      <colorScale>
        <cfvo type="num" val="-1"/>
        <cfvo type="num" val="0"/>
        <cfvo type="num" val="3"/>
        <color rgb="FFF8696B"/>
        <color rgb="FFFFEB84"/>
        <color rgb="FF63BE7B"/>
      </colorScale>
    </cfRule>
  </conditionalFormatting>
  <conditionalFormatting sqref="C178:L178">
    <cfRule type="containsText" dxfId="102" priority="4" operator="containsText" text="Secondaire">
      <formula>NOT(ISERROR(SEARCH("Secondaire",C178)))</formula>
    </cfRule>
    <cfRule type="containsText" dxfId="101" priority="5" operator="containsText" text="Tertiaire">
      <formula>NOT(ISERROR(SEARCH("Tertiaire",C178)))</formula>
    </cfRule>
    <cfRule type="containsText" dxfId="100" priority="6" operator="containsText" text="Secondaire">
      <formula>NOT(ISERROR(SEARCH("Secondaire",C178)))</formula>
    </cfRule>
    <cfRule type="containsText" dxfId="99" priority="7" operator="containsText" text="Primaire">
      <formula>NOT(ISERROR(SEARCH("Primaire",C178)))</formula>
    </cfRule>
    <cfRule type="containsText" dxfId="98" priority="8" operator="containsText" text="Non produit">
      <formula>NOT(ISERROR(SEARCH("Non produit",C178)))</formula>
    </cfRule>
    <cfRule type="containsText" dxfId="97" priority="9" operator="containsText" text="Peu produit">
      <formula>NOT(ISERROR(SEARCH("Peu produit",C178)))</formula>
    </cfRule>
    <cfRule type="containsText" dxfId="96" priority="10" operator="containsText" text="Autosuffit">
      <formula>NOT(ISERROR(SEARCH("Autosuffit",C178)))</formula>
    </cfRule>
  </conditionalFormatting>
  <conditionalFormatting sqref="D179:L179">
    <cfRule type="colorScale" priority="2">
      <colorScale>
        <cfvo type="num" val="-1"/>
        <cfvo type="num" val="0"/>
        <cfvo type="num" val="3"/>
        <color rgb="FFFF8080"/>
        <color rgb="FFFFEB84"/>
        <color rgb="FF00FF00"/>
      </colorScale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9:L179">
    <cfRule type="colorScale" priority="1">
      <colorScale>
        <cfvo type="num" val="-1"/>
        <cfvo type="num" val="0"/>
        <cfvo type="num" val="3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8"/>
  <sheetViews>
    <sheetView workbookViewId="0">
      <selection activeCell="M23" sqref="M23"/>
    </sheetView>
  </sheetViews>
  <sheetFormatPr baseColWidth="10" defaultRowHeight="15" x14ac:dyDescent="0.25"/>
  <cols>
    <col min="1" max="1" width="21" customWidth="1"/>
    <col min="2" max="2" width="6.28515625" customWidth="1"/>
    <col min="13" max="13" width="13.85546875" customWidth="1"/>
    <col min="14" max="14" width="9.85546875" customWidth="1"/>
    <col min="15" max="15" width="10.140625" customWidth="1"/>
    <col min="16" max="16" width="12" customWidth="1"/>
    <col min="17" max="17" width="17.28515625" customWidth="1"/>
  </cols>
  <sheetData>
    <row r="1" spans="1:17" ht="21" x14ac:dyDescent="0.35">
      <c r="A1" s="2" t="s">
        <v>170</v>
      </c>
      <c r="B1" s="1"/>
    </row>
    <row r="3" spans="1:17" x14ac:dyDescent="0.25">
      <c r="A3" t="s">
        <v>141</v>
      </c>
    </row>
    <row r="4" spans="1:17" x14ac:dyDescent="0.25">
      <c r="A4" t="s">
        <v>220</v>
      </c>
    </row>
    <row r="6" spans="1:17" x14ac:dyDescent="0.25">
      <c r="A6" s="94" t="s">
        <v>148</v>
      </c>
      <c r="B6" s="95"/>
      <c r="C6" s="59" t="s">
        <v>149</v>
      </c>
      <c r="E6" s="156" t="s">
        <v>77</v>
      </c>
      <c r="F6" s="157"/>
      <c r="G6" s="158"/>
      <c r="H6" s="164" t="s">
        <v>207</v>
      </c>
      <c r="I6" s="165"/>
      <c r="J6" s="165"/>
      <c r="K6" s="163"/>
      <c r="L6" s="139">
        <v>8</v>
      </c>
      <c r="O6" s="137" t="s">
        <v>206</v>
      </c>
      <c r="Q6" s="97"/>
    </row>
    <row r="7" spans="1:17" x14ac:dyDescent="0.25">
      <c r="A7" s="98" t="s">
        <v>150</v>
      </c>
      <c r="B7" s="96"/>
      <c r="C7" s="166" t="s">
        <v>151</v>
      </c>
      <c r="D7" s="167"/>
      <c r="E7" s="138" t="s">
        <v>178</v>
      </c>
      <c r="F7" s="97"/>
      <c r="H7" s="162" t="s">
        <v>152</v>
      </c>
      <c r="I7" s="162"/>
      <c r="J7" s="162"/>
      <c r="K7" s="163"/>
      <c r="L7" s="140">
        <f>1-(COUNTIF(C13:L13,"Oui" )/10)</f>
        <v>0</v>
      </c>
      <c r="O7" s="153" t="s">
        <v>221</v>
      </c>
      <c r="P7" s="97"/>
      <c r="Q7" s="97"/>
    </row>
    <row r="8" spans="1:17" ht="15.75" thickBot="1" x14ac:dyDescent="0.3">
      <c r="A8" s="98"/>
      <c r="B8" s="96"/>
      <c r="H8" t="s">
        <v>208</v>
      </c>
      <c r="L8" s="152">
        <f>O119</f>
        <v>330000</v>
      </c>
      <c r="P8" s="97"/>
      <c r="Q8" s="97"/>
    </row>
    <row r="9" spans="1:17" ht="15.75" thickBot="1" x14ac:dyDescent="0.3">
      <c r="A9" s="97"/>
      <c r="B9" s="97"/>
      <c r="C9" s="100" t="s">
        <v>8</v>
      </c>
      <c r="D9" s="101" t="s">
        <v>9</v>
      </c>
      <c r="E9" s="101" t="s">
        <v>10</v>
      </c>
      <c r="F9" s="101" t="s">
        <v>137</v>
      </c>
      <c r="G9" s="101" t="s">
        <v>11</v>
      </c>
      <c r="H9" s="101" t="s">
        <v>138</v>
      </c>
      <c r="I9" s="101" t="s">
        <v>139</v>
      </c>
      <c r="J9" s="101" t="s">
        <v>12</v>
      </c>
      <c r="K9" s="101" t="s">
        <v>13</v>
      </c>
      <c r="L9" s="102" t="s">
        <v>105</v>
      </c>
    </row>
    <row r="10" spans="1:17" x14ac:dyDescent="0.25">
      <c r="A10" s="103" t="s">
        <v>153</v>
      </c>
      <c r="B10" s="97"/>
      <c r="C10" s="136">
        <v>120</v>
      </c>
      <c r="D10" s="104">
        <v>120</v>
      </c>
      <c r="E10" s="104">
        <v>120</v>
      </c>
      <c r="F10" s="104">
        <v>120</v>
      </c>
      <c r="G10" s="104">
        <v>120</v>
      </c>
      <c r="H10" s="104">
        <v>120</v>
      </c>
      <c r="I10" s="104">
        <v>120</v>
      </c>
      <c r="J10" s="104">
        <v>120</v>
      </c>
      <c r="K10" s="104">
        <v>120</v>
      </c>
      <c r="L10" s="135">
        <v>120</v>
      </c>
    </row>
    <row r="11" spans="1:17" x14ac:dyDescent="0.25">
      <c r="A11" s="103" t="s">
        <v>154</v>
      </c>
      <c r="B11" s="97"/>
      <c r="C11" s="105">
        <f>15*L6</f>
        <v>120</v>
      </c>
      <c r="D11" s="105">
        <f>15*L6</f>
        <v>120</v>
      </c>
      <c r="E11" s="105">
        <f>15*L6</f>
        <v>120</v>
      </c>
      <c r="F11" s="105">
        <f>15*L6</f>
        <v>120</v>
      </c>
      <c r="G11" s="105">
        <f>15*L6</f>
        <v>120</v>
      </c>
      <c r="H11" s="105">
        <f>15*L6</f>
        <v>120</v>
      </c>
      <c r="I11" s="105">
        <f>15*L6</f>
        <v>120</v>
      </c>
      <c r="J11" s="105">
        <f>15*L6</f>
        <v>120</v>
      </c>
      <c r="K11" s="105">
        <f>15*L6</f>
        <v>120</v>
      </c>
      <c r="L11" s="105">
        <f>15*L6</f>
        <v>120</v>
      </c>
    </row>
    <row r="12" spans="1:17" x14ac:dyDescent="0.25">
      <c r="A12" s="103" t="s">
        <v>155</v>
      </c>
      <c r="B12" s="97"/>
      <c r="C12" s="106">
        <f>C119</f>
        <v>600</v>
      </c>
      <c r="D12" s="106">
        <f>D119</f>
        <v>0</v>
      </c>
      <c r="E12" s="106">
        <f t="shared" ref="E12:L12" si="0">E119</f>
        <v>0</v>
      </c>
      <c r="F12" s="106">
        <f t="shared" si="0"/>
        <v>70</v>
      </c>
      <c r="G12" s="106">
        <f t="shared" si="0"/>
        <v>70</v>
      </c>
      <c r="H12" s="106">
        <f t="shared" si="0"/>
        <v>210</v>
      </c>
      <c r="I12" s="106">
        <f t="shared" si="0"/>
        <v>470</v>
      </c>
      <c r="J12" s="106">
        <f t="shared" si="0"/>
        <v>260</v>
      </c>
      <c r="K12" s="106">
        <f t="shared" si="0"/>
        <v>20</v>
      </c>
      <c r="L12" s="106">
        <f t="shared" si="0"/>
        <v>40</v>
      </c>
    </row>
    <row r="13" spans="1:17" x14ac:dyDescent="0.25">
      <c r="A13" s="88" t="s">
        <v>156</v>
      </c>
      <c r="B13" s="97"/>
      <c r="C13" s="107" t="str">
        <f>IF((C10-C11) &gt;= 0,"Oui","Non")</f>
        <v>Oui</v>
      </c>
      <c r="D13" s="107" t="str">
        <f t="shared" ref="D13:L13" si="1">IF((D10-D11) &gt;= 0,"Oui","Non")</f>
        <v>Oui</v>
      </c>
      <c r="E13" s="107" t="str">
        <f t="shared" si="1"/>
        <v>Oui</v>
      </c>
      <c r="F13" s="107" t="str">
        <f t="shared" si="1"/>
        <v>Oui</v>
      </c>
      <c r="G13" s="107" t="str">
        <f t="shared" si="1"/>
        <v>Oui</v>
      </c>
      <c r="H13" s="107" t="str">
        <f t="shared" si="1"/>
        <v>Oui</v>
      </c>
      <c r="I13" s="107" t="str">
        <f t="shared" si="1"/>
        <v>Oui</v>
      </c>
      <c r="J13" s="107" t="str">
        <f t="shared" si="1"/>
        <v>Oui</v>
      </c>
      <c r="K13" s="107" t="str">
        <f t="shared" si="1"/>
        <v>Oui</v>
      </c>
      <c r="L13" s="107" t="str">
        <f t="shared" si="1"/>
        <v>Oui</v>
      </c>
    </row>
    <row r="14" spans="1:17" x14ac:dyDescent="0.25">
      <c r="A14" s="103" t="s">
        <v>157</v>
      </c>
      <c r="B14" s="97"/>
      <c r="C14" s="108">
        <f>IF(C13="OUI",C10-C11+C12,C10+C12)</f>
        <v>600</v>
      </c>
      <c r="D14" s="108">
        <f>IF(D13="OUI",D10-D11+D12,D10+D12)</f>
        <v>0</v>
      </c>
      <c r="E14" s="108">
        <f t="shared" ref="E14:L14" si="2">IF(E13="OUI",E10-E11+E12,E10+E12)</f>
        <v>0</v>
      </c>
      <c r="F14" s="108">
        <f t="shared" si="2"/>
        <v>70</v>
      </c>
      <c r="G14" s="108">
        <f t="shared" si="2"/>
        <v>70</v>
      </c>
      <c r="H14" s="108">
        <f t="shared" si="2"/>
        <v>210</v>
      </c>
      <c r="I14" s="108">
        <f t="shared" si="2"/>
        <v>470</v>
      </c>
      <c r="J14" s="108">
        <f t="shared" si="2"/>
        <v>260</v>
      </c>
      <c r="K14" s="108">
        <f t="shared" si="2"/>
        <v>20</v>
      </c>
      <c r="L14" s="108">
        <f t="shared" si="2"/>
        <v>40</v>
      </c>
    </row>
    <row r="15" spans="1:17" x14ac:dyDescent="0.25">
      <c r="A15" s="103" t="s">
        <v>162</v>
      </c>
      <c r="B15" s="97"/>
      <c r="C15" s="142"/>
      <c r="D15" s="142">
        <v>30</v>
      </c>
      <c r="E15" s="142">
        <v>120</v>
      </c>
      <c r="F15" s="142">
        <v>80</v>
      </c>
      <c r="G15" s="142">
        <v>50</v>
      </c>
      <c r="H15" s="142"/>
      <c r="I15" s="142"/>
      <c r="J15" s="142"/>
      <c r="K15" s="142"/>
      <c r="L15" s="142"/>
    </row>
    <row r="16" spans="1:17" x14ac:dyDescent="0.25">
      <c r="A16" s="103" t="s">
        <v>165</v>
      </c>
      <c r="B16" s="97"/>
      <c r="C16" s="142"/>
      <c r="D16" s="142"/>
      <c r="E16" s="142"/>
      <c r="F16" s="142"/>
      <c r="G16" s="142"/>
      <c r="H16" s="142"/>
      <c r="I16" s="142"/>
      <c r="J16" s="142"/>
      <c r="K16" s="142"/>
      <c r="L16" s="142"/>
    </row>
    <row r="17" spans="1:17" x14ac:dyDescent="0.25">
      <c r="A17" s="103" t="s">
        <v>163</v>
      </c>
      <c r="B17" s="97"/>
      <c r="C17" s="141">
        <v>170</v>
      </c>
      <c r="D17" s="141"/>
      <c r="E17" s="141"/>
      <c r="F17" s="141"/>
      <c r="G17" s="141"/>
      <c r="H17" s="141">
        <v>60</v>
      </c>
      <c r="I17" s="141">
        <v>135</v>
      </c>
      <c r="J17" s="141"/>
      <c r="K17" s="141"/>
      <c r="L17" s="141"/>
    </row>
    <row r="18" spans="1:17" x14ac:dyDescent="0.25">
      <c r="A18" s="103" t="s">
        <v>164</v>
      </c>
      <c r="B18" s="97"/>
      <c r="C18" s="141"/>
      <c r="D18" s="141"/>
      <c r="E18" s="141"/>
      <c r="F18" s="141"/>
      <c r="G18" s="141"/>
      <c r="H18" s="141"/>
      <c r="I18" s="141"/>
      <c r="J18" s="141"/>
      <c r="K18" s="141"/>
      <c r="L18" s="141"/>
    </row>
    <row r="19" spans="1:17" x14ac:dyDescent="0.25">
      <c r="A19" s="109" t="s">
        <v>158</v>
      </c>
      <c r="B19" s="97"/>
      <c r="C19" s="110">
        <f>C14+C15+C16-C17-C18</f>
        <v>430</v>
      </c>
      <c r="D19" s="110">
        <f>D14+D15+D16-D17-D18</f>
        <v>30</v>
      </c>
      <c r="E19" s="110">
        <f t="shared" ref="E19:K19" si="3">E14+E15+E16-E17-E18</f>
        <v>120</v>
      </c>
      <c r="F19" s="110">
        <f>F14+F15+F16-F17-F18</f>
        <v>150</v>
      </c>
      <c r="G19" s="110">
        <f t="shared" si="3"/>
        <v>120</v>
      </c>
      <c r="H19" s="110">
        <f t="shared" si="3"/>
        <v>150</v>
      </c>
      <c r="I19" s="110">
        <f t="shared" si="3"/>
        <v>335</v>
      </c>
      <c r="J19" s="110">
        <f t="shared" si="3"/>
        <v>260</v>
      </c>
      <c r="K19" s="110">
        <f t="shared" si="3"/>
        <v>20</v>
      </c>
      <c r="L19" s="110">
        <f>L14+L15+L16-L17-L18</f>
        <v>40</v>
      </c>
    </row>
    <row r="20" spans="1:17" x14ac:dyDescent="0.25">
      <c r="A20" s="103" t="s">
        <v>161</v>
      </c>
      <c r="B20" s="97"/>
      <c r="C20" s="111">
        <f>(COUNTIF(M27:M111,"Possédée")+COUNTIF(M27:M111,"Assiégée"))*15</f>
        <v>150</v>
      </c>
      <c r="D20" s="111">
        <f>(COUNTIF(M27:M111,"Possédée")+COUNTIF(M27:M111,"Assiégée"))*15</f>
        <v>150</v>
      </c>
      <c r="E20" s="111">
        <f>(COUNTIF(M27:M111,"Possédée")+COUNTIF(M27:M111,"Assiégée"))*15</f>
        <v>150</v>
      </c>
      <c r="F20" s="111">
        <f>(COUNTIF(M27:M111,"Possédée")+COUNTIF(M27:M111,"Assiégée"))*15</f>
        <v>150</v>
      </c>
      <c r="G20" s="111">
        <f>(COUNTIF(M27:M111,"Possédée")+COUNTIF(M27:M111,"Assiégée"))*15</f>
        <v>150</v>
      </c>
      <c r="H20" s="111">
        <f>(COUNTIF(M27:M111,"Possédée")+COUNTIF(M27:M111,"Assiégée"))*15</f>
        <v>150</v>
      </c>
      <c r="I20" s="111">
        <f>(COUNTIF(M27:M111,"Possédée")+COUNTIF(M27:M111,"Assiégée"))*15</f>
        <v>150</v>
      </c>
      <c r="J20" s="111">
        <f>(COUNTIF(M27:M111,"Possédée")+COUNTIF(M27:M111,"Assiégée"))*15</f>
        <v>150</v>
      </c>
      <c r="K20" s="111">
        <f>(COUNTIF(M27:M111,"Possédée")+COUNTIF(M27:M111,"Assiégée"))*15</f>
        <v>150</v>
      </c>
      <c r="L20" s="111">
        <f>(COUNTIF(M27:M111,"Possédée")+COUNTIF(M27:M111,"Assiégée"))*15</f>
        <v>150</v>
      </c>
    </row>
    <row r="21" spans="1:17" x14ac:dyDescent="0.25">
      <c r="A21" s="103" t="s">
        <v>159</v>
      </c>
      <c r="B21" s="97"/>
      <c r="C21" s="112">
        <f>C19-C20</f>
        <v>280</v>
      </c>
      <c r="D21" s="112">
        <f t="shared" ref="D21:L21" si="4">D19-D20</f>
        <v>-120</v>
      </c>
      <c r="E21" s="112">
        <f>E19-E20</f>
        <v>-30</v>
      </c>
      <c r="F21" s="112">
        <f>F19-F20</f>
        <v>0</v>
      </c>
      <c r="G21" s="112">
        <f t="shared" si="4"/>
        <v>-30</v>
      </c>
      <c r="H21" s="112">
        <f t="shared" si="4"/>
        <v>0</v>
      </c>
      <c r="I21" s="112">
        <f t="shared" si="4"/>
        <v>185</v>
      </c>
      <c r="J21" s="112">
        <f t="shared" si="4"/>
        <v>110</v>
      </c>
      <c r="K21" s="112">
        <f t="shared" si="4"/>
        <v>-130</v>
      </c>
      <c r="L21" s="112">
        <f t="shared" si="4"/>
        <v>-110</v>
      </c>
    </row>
    <row r="22" spans="1:17" x14ac:dyDescent="0.25">
      <c r="A22" s="103"/>
      <c r="B22" s="97"/>
    </row>
    <row r="23" spans="1:17" x14ac:dyDescent="0.25">
      <c r="O23" s="99" t="s">
        <v>176</v>
      </c>
    </row>
    <row r="24" spans="1:17" ht="15.75" thickBot="1" x14ac:dyDescent="0.3">
      <c r="A24" s="114" t="s">
        <v>160</v>
      </c>
      <c r="H24" s="97"/>
      <c r="I24" s="97"/>
      <c r="J24" s="97"/>
    </row>
    <row r="25" spans="1:17" ht="15.75" thickBot="1" x14ac:dyDescent="0.3">
      <c r="A25" s="121" t="s">
        <v>168</v>
      </c>
      <c r="B25" s="75" t="s">
        <v>167</v>
      </c>
      <c r="C25" s="159" t="s">
        <v>169</v>
      </c>
      <c r="D25" s="160"/>
      <c r="E25" s="160"/>
      <c r="F25" s="160"/>
      <c r="G25" s="160"/>
      <c r="H25" s="160"/>
      <c r="I25" s="160"/>
      <c r="J25" s="160"/>
      <c r="K25" s="160"/>
      <c r="L25" s="161"/>
      <c r="M25" s="129" t="s">
        <v>171</v>
      </c>
      <c r="N25" s="115" t="s">
        <v>172</v>
      </c>
      <c r="O25" s="129" t="s">
        <v>213</v>
      </c>
      <c r="P25" s="154" t="s">
        <v>203</v>
      </c>
      <c r="Q25" s="155"/>
    </row>
    <row r="26" spans="1:17" ht="15.75" thickBot="1" x14ac:dyDescent="0.3">
      <c r="A26" s="3" t="s">
        <v>22</v>
      </c>
      <c r="B26" s="120" t="s">
        <v>166</v>
      </c>
      <c r="C26" s="91" t="s">
        <v>8</v>
      </c>
      <c r="D26" s="92" t="s">
        <v>9</v>
      </c>
      <c r="E26" s="92" t="s">
        <v>10</v>
      </c>
      <c r="F26" s="92" t="s">
        <v>137</v>
      </c>
      <c r="G26" s="92" t="s">
        <v>11</v>
      </c>
      <c r="H26" s="92" t="s">
        <v>138</v>
      </c>
      <c r="I26" s="92" t="s">
        <v>139</v>
      </c>
      <c r="J26" s="92" t="s">
        <v>12</v>
      </c>
      <c r="K26" s="92" t="s">
        <v>13</v>
      </c>
      <c r="L26" s="93" t="s">
        <v>105</v>
      </c>
      <c r="M26" s="130" t="s">
        <v>175</v>
      </c>
      <c r="N26" s="118" t="s">
        <v>177</v>
      </c>
      <c r="O26" s="130" t="s">
        <v>214</v>
      </c>
      <c r="P26" s="147" t="s">
        <v>204</v>
      </c>
      <c r="Q26" s="148" t="s">
        <v>205</v>
      </c>
    </row>
    <row r="27" spans="1:17" x14ac:dyDescent="0.25">
      <c r="A27" t="s">
        <v>0</v>
      </c>
      <c r="B27" s="115">
        <v>15</v>
      </c>
      <c r="C27" s="15"/>
      <c r="D27" s="15"/>
      <c r="E27" s="15"/>
      <c r="F27" s="15"/>
      <c r="G27" s="15"/>
      <c r="H27" s="15"/>
      <c r="I27" s="15">
        <f>TRUNC(90*Q27*(1-L7)*(1-N27))</f>
        <v>0</v>
      </c>
      <c r="J27" s="15"/>
      <c r="K27" s="15"/>
      <c r="L27" s="16">
        <f>TRUNC(120*Q27*(1-L7)*(1-N27))</f>
        <v>0</v>
      </c>
      <c r="M27" s="126" t="s">
        <v>173</v>
      </c>
      <c r="N27" s="123">
        <v>0</v>
      </c>
      <c r="O27" s="149">
        <f>IF(E$6="Archipel de l'Automne",60000*Q27*(1-L$7)*(1-N27),30000*Q27*(1-L$7)*(1-N27))</f>
        <v>0</v>
      </c>
      <c r="P27" s="143">
        <f>IF(OR(M27="Possédée",M27="Assiégée"),B27,0)</f>
        <v>0</v>
      </c>
      <c r="Q27" s="144">
        <f>IF(M27="Possédée",1,IF(M27="Assiégée",0.5,0))</f>
        <v>0</v>
      </c>
    </row>
    <row r="28" spans="1:17" x14ac:dyDescent="0.25">
      <c r="A28" t="s">
        <v>1</v>
      </c>
      <c r="B28" s="116">
        <v>15</v>
      </c>
      <c r="C28" s="17"/>
      <c r="D28" s="17"/>
      <c r="E28" s="17"/>
      <c r="F28" s="17"/>
      <c r="G28" s="17">
        <f>TRUNC(30*Q28*(1-L7)*(1-N28))</f>
        <v>0</v>
      </c>
      <c r="H28" s="17"/>
      <c r="I28" s="17"/>
      <c r="J28" s="17"/>
      <c r="K28" s="17"/>
      <c r="L28" s="18">
        <f>TRUNC(140*Q28*(1-L7)*(1-N28))</f>
        <v>0</v>
      </c>
      <c r="M28" s="127" t="s">
        <v>173</v>
      </c>
      <c r="N28" s="124">
        <v>0</v>
      </c>
      <c r="O28" s="150">
        <f>30000*Q28*(1-L$7)*(1-N28)</f>
        <v>0</v>
      </c>
      <c r="P28" s="145">
        <f>IF(OR(M28="Possédée",M28="Assiégée"),B28,0)</f>
        <v>0</v>
      </c>
      <c r="Q28" s="146">
        <f t="shared" ref="Q28:Q91" si="5">IF(M28="Possédée",1,IF(M28="Assiégée",0.5,0))</f>
        <v>0</v>
      </c>
    </row>
    <row r="29" spans="1:17" x14ac:dyDescent="0.25">
      <c r="A29" t="s">
        <v>2</v>
      </c>
      <c r="B29" s="116">
        <v>15</v>
      </c>
      <c r="C29" s="17">
        <f>TRUNC(60*Q29*(1-L7)*(1-N29))</f>
        <v>0</v>
      </c>
      <c r="D29" s="17"/>
      <c r="E29" s="17"/>
      <c r="F29" s="17"/>
      <c r="G29" s="17"/>
      <c r="H29" s="17"/>
      <c r="I29" s="17">
        <f>TRUNC(110*Q29*(1-L7)*(1-N29))</f>
        <v>0</v>
      </c>
      <c r="J29" s="17"/>
      <c r="K29" s="17"/>
      <c r="L29" s="18"/>
      <c r="M29" s="127" t="s">
        <v>173</v>
      </c>
      <c r="N29" s="124">
        <v>0</v>
      </c>
      <c r="O29" s="150">
        <f t="shared" ref="O29:O34" si="6">30000*Q29*(1-L$7)*(1-N29)</f>
        <v>0</v>
      </c>
      <c r="P29" s="145">
        <f t="shared" ref="P29:P92" si="7">IF(OR(M29="Possédée",M29="Assiégée"),B29,0)</f>
        <v>0</v>
      </c>
      <c r="Q29" s="146">
        <f t="shared" si="5"/>
        <v>0</v>
      </c>
    </row>
    <row r="30" spans="1:17" x14ac:dyDescent="0.25">
      <c r="A30" t="s">
        <v>3</v>
      </c>
      <c r="B30" s="116">
        <v>15</v>
      </c>
      <c r="C30" s="17">
        <f>TRUNC(40*Q30*(1-L7)*(1-N30))</f>
        <v>0</v>
      </c>
      <c r="D30" s="17"/>
      <c r="E30" s="17"/>
      <c r="F30" s="17"/>
      <c r="G30" s="17"/>
      <c r="H30" s="17"/>
      <c r="I30" s="17">
        <f>TRUNC(60*Q30*(1-L7)*(1-N30))</f>
        <v>0</v>
      </c>
      <c r="J30" s="17"/>
      <c r="K30" s="17">
        <f>TRUNC(70*Q30*(1-L7)*(1-N30))</f>
        <v>0</v>
      </c>
      <c r="L30" s="18"/>
      <c r="M30" s="127" t="s">
        <v>173</v>
      </c>
      <c r="N30" s="124">
        <v>0</v>
      </c>
      <c r="O30" s="150">
        <f t="shared" si="6"/>
        <v>0</v>
      </c>
      <c r="P30" s="145">
        <f t="shared" si="7"/>
        <v>0</v>
      </c>
      <c r="Q30" s="146">
        <f t="shared" si="5"/>
        <v>0</v>
      </c>
    </row>
    <row r="31" spans="1:17" x14ac:dyDescent="0.25">
      <c r="A31" t="s">
        <v>4</v>
      </c>
      <c r="B31" s="116">
        <v>15</v>
      </c>
      <c r="C31" s="17"/>
      <c r="D31" s="17"/>
      <c r="E31" s="17"/>
      <c r="F31" s="17"/>
      <c r="G31" s="17"/>
      <c r="H31" s="17"/>
      <c r="I31" s="17">
        <f>TRUNC(80*Q31*(1-L7)*(1-N31))</f>
        <v>0</v>
      </c>
      <c r="J31" s="17"/>
      <c r="K31" s="17"/>
      <c r="L31" s="18">
        <f>TRUNC(90*Q31*(1-L7)*(1-N31))</f>
        <v>0</v>
      </c>
      <c r="M31" s="127" t="s">
        <v>173</v>
      </c>
      <c r="N31" s="124">
        <v>0</v>
      </c>
      <c r="O31" s="150">
        <f t="shared" si="6"/>
        <v>0</v>
      </c>
      <c r="P31" s="145">
        <f t="shared" si="7"/>
        <v>0</v>
      </c>
      <c r="Q31" s="146">
        <f t="shared" si="5"/>
        <v>0</v>
      </c>
    </row>
    <row r="32" spans="1:17" x14ac:dyDescent="0.25">
      <c r="A32" t="s">
        <v>5</v>
      </c>
      <c r="B32" s="116">
        <v>15</v>
      </c>
      <c r="C32" s="17"/>
      <c r="D32" s="17"/>
      <c r="E32" s="17"/>
      <c r="F32" s="17"/>
      <c r="G32" s="17"/>
      <c r="H32" s="17"/>
      <c r="I32" s="17"/>
      <c r="J32" s="17"/>
      <c r="K32" s="17">
        <f>TRUNC(170*Q32*(1-L7)*(1-N32))</f>
        <v>0</v>
      </c>
      <c r="L32" s="18"/>
      <c r="M32" s="127" t="s">
        <v>173</v>
      </c>
      <c r="N32" s="124">
        <v>0</v>
      </c>
      <c r="O32" s="150">
        <f t="shared" si="6"/>
        <v>0</v>
      </c>
      <c r="P32" s="145">
        <f t="shared" si="7"/>
        <v>0</v>
      </c>
      <c r="Q32" s="146">
        <f t="shared" si="5"/>
        <v>0</v>
      </c>
    </row>
    <row r="33" spans="1:17" x14ac:dyDescent="0.25">
      <c r="A33" t="s">
        <v>6</v>
      </c>
      <c r="B33" s="116">
        <v>15</v>
      </c>
      <c r="C33" s="17">
        <f>TRUNC(40*Q33*(1-L7)*(1-N33))</f>
        <v>0</v>
      </c>
      <c r="D33" s="17"/>
      <c r="E33" s="17"/>
      <c r="F33" s="17">
        <f>TRUNC(130*Q33*(1-L7)*(1-N33))</f>
        <v>0</v>
      </c>
      <c r="G33" s="17"/>
      <c r="H33" s="17"/>
      <c r="I33" s="17"/>
      <c r="J33" s="17"/>
      <c r="K33" s="17"/>
      <c r="L33" s="18"/>
      <c r="M33" s="127" t="s">
        <v>173</v>
      </c>
      <c r="N33" s="124">
        <v>0</v>
      </c>
      <c r="O33" s="150">
        <f t="shared" si="6"/>
        <v>0</v>
      </c>
      <c r="P33" s="145">
        <f t="shared" si="7"/>
        <v>0</v>
      </c>
      <c r="Q33" s="146">
        <f t="shared" si="5"/>
        <v>0</v>
      </c>
    </row>
    <row r="34" spans="1:17" ht="15.75" thickBot="1" x14ac:dyDescent="0.3">
      <c r="A34" t="s">
        <v>7</v>
      </c>
      <c r="B34" s="116">
        <v>15</v>
      </c>
      <c r="C34" s="17"/>
      <c r="D34" s="17">
        <f>TRUNC(70*Q34*(1-L7)*(1-N34))</f>
        <v>0</v>
      </c>
      <c r="E34" s="17"/>
      <c r="F34" s="17"/>
      <c r="G34" s="17"/>
      <c r="H34" s="17"/>
      <c r="I34" s="17"/>
      <c r="J34" s="17"/>
      <c r="K34" s="17"/>
      <c r="L34" s="18">
        <f>TRUNC(100*Q34*(1-L7)*(1-N34))</f>
        <v>0</v>
      </c>
      <c r="M34" s="127" t="s">
        <v>173</v>
      </c>
      <c r="N34" s="124">
        <v>0</v>
      </c>
      <c r="O34" s="150">
        <f t="shared" si="6"/>
        <v>0</v>
      </c>
      <c r="P34" s="145">
        <f>IF(OR(M34="Possédée",M34="Assiégée"),B34,0)</f>
        <v>0</v>
      </c>
      <c r="Q34" s="146">
        <f t="shared" si="5"/>
        <v>0</v>
      </c>
    </row>
    <row r="35" spans="1:17" ht="15.75" thickBot="1" x14ac:dyDescent="0.3">
      <c r="A35" s="10" t="s">
        <v>23</v>
      </c>
      <c r="B35" s="117" t="s">
        <v>166</v>
      </c>
      <c r="C35" s="91" t="s">
        <v>8</v>
      </c>
      <c r="D35" s="92" t="s">
        <v>9</v>
      </c>
      <c r="E35" s="92" t="s">
        <v>10</v>
      </c>
      <c r="F35" s="92" t="s">
        <v>137</v>
      </c>
      <c r="G35" s="92" t="s">
        <v>11</v>
      </c>
      <c r="H35" s="92" t="s">
        <v>138</v>
      </c>
      <c r="I35" s="92" t="s">
        <v>139</v>
      </c>
      <c r="J35" s="92" t="s">
        <v>12</v>
      </c>
      <c r="K35" s="92" t="s">
        <v>13</v>
      </c>
      <c r="L35" s="93" t="s">
        <v>105</v>
      </c>
      <c r="M35" s="93"/>
      <c r="N35" s="93"/>
      <c r="O35" s="151"/>
      <c r="P35" s="147"/>
      <c r="Q35" s="148"/>
    </row>
    <row r="36" spans="1:17" x14ac:dyDescent="0.25">
      <c r="A36" t="s">
        <v>14</v>
      </c>
      <c r="B36" s="115">
        <v>15</v>
      </c>
      <c r="C36" s="19"/>
      <c r="D36" s="17"/>
      <c r="E36" s="17">
        <f>TRUNC(60*Q36*(1-L7)*(1-N36))</f>
        <v>0</v>
      </c>
      <c r="F36" s="17"/>
      <c r="G36" s="17">
        <f>TRUNC(150*Q36*(1-L7)*(1-N36))</f>
        <v>0</v>
      </c>
      <c r="H36" s="17"/>
      <c r="I36" s="17"/>
      <c r="J36" s="17"/>
      <c r="K36" s="17"/>
      <c r="L36" s="18"/>
      <c r="M36" s="127" t="s">
        <v>173</v>
      </c>
      <c r="N36" s="124">
        <v>0</v>
      </c>
      <c r="O36" s="149">
        <f>IF(E$6="Bordeciel",60000*Q36*(1-L$7)*(1-N36),30000*Q36*(1-L$7)*(1-N36))</f>
        <v>0</v>
      </c>
      <c r="P36" s="145">
        <f t="shared" si="7"/>
        <v>0</v>
      </c>
      <c r="Q36" s="146">
        <f t="shared" si="5"/>
        <v>0</v>
      </c>
    </row>
    <row r="37" spans="1:17" x14ac:dyDescent="0.25">
      <c r="A37" t="s">
        <v>15</v>
      </c>
      <c r="B37" s="116">
        <v>15</v>
      </c>
      <c r="C37" s="19"/>
      <c r="D37" s="17"/>
      <c r="E37" s="17"/>
      <c r="F37" s="17"/>
      <c r="G37" s="17"/>
      <c r="H37" s="17"/>
      <c r="I37" s="17"/>
      <c r="J37" s="17"/>
      <c r="K37" s="17">
        <f>TRUNC(170*Q37*(1-L7)*(1-N37))</f>
        <v>0</v>
      </c>
      <c r="L37" s="18"/>
      <c r="M37" s="127" t="s">
        <v>173</v>
      </c>
      <c r="N37" s="124">
        <v>0</v>
      </c>
      <c r="O37" s="150">
        <f>30000*Q37*(1-L$7)*(1-N37)</f>
        <v>0</v>
      </c>
      <c r="P37" s="145">
        <f t="shared" si="7"/>
        <v>0</v>
      </c>
      <c r="Q37" s="146">
        <f t="shared" si="5"/>
        <v>0</v>
      </c>
    </row>
    <row r="38" spans="1:17" x14ac:dyDescent="0.25">
      <c r="A38" t="s">
        <v>16</v>
      </c>
      <c r="B38" s="116">
        <v>15</v>
      </c>
      <c r="C38" s="19"/>
      <c r="D38" s="17">
        <f>TRUNC(130*Q38*(1-L7)*(1-N38))</f>
        <v>0</v>
      </c>
      <c r="E38" s="17"/>
      <c r="F38" s="17"/>
      <c r="G38" s="17">
        <f>TRUNC(40*Q38*(1-L7)*(1-N38))</f>
        <v>0</v>
      </c>
      <c r="H38" s="17"/>
      <c r="I38" s="17"/>
      <c r="J38" s="17"/>
      <c r="K38" s="17"/>
      <c r="L38" s="18"/>
      <c r="M38" s="127" t="s">
        <v>173</v>
      </c>
      <c r="N38" s="124">
        <v>0</v>
      </c>
      <c r="O38" s="150">
        <f t="shared" ref="O38:O43" si="8">30000*Q38*(1-L$7)*(1-N38)</f>
        <v>0</v>
      </c>
      <c r="P38" s="145">
        <f t="shared" si="7"/>
        <v>0</v>
      </c>
      <c r="Q38" s="146">
        <f t="shared" si="5"/>
        <v>0</v>
      </c>
    </row>
    <row r="39" spans="1:17" x14ac:dyDescent="0.25">
      <c r="A39" t="s">
        <v>17</v>
      </c>
      <c r="B39" s="116">
        <v>15</v>
      </c>
      <c r="C39" s="19">
        <f>TRUNC(70*Q39*(1-L7)*(1-N39))</f>
        <v>0</v>
      </c>
      <c r="D39" s="17">
        <f>TRUNC(60*Q39*(1-L7)*(1-N39))</f>
        <v>0</v>
      </c>
      <c r="E39" s="17">
        <f>TRUNC(40*Q39*(1-L7)*(1-N39))</f>
        <v>0</v>
      </c>
      <c r="F39" s="17"/>
      <c r="G39" s="17"/>
      <c r="H39" s="17"/>
      <c r="I39" s="17"/>
      <c r="J39" s="17"/>
      <c r="K39" s="17"/>
      <c r="L39" s="18"/>
      <c r="M39" s="127" t="s">
        <v>173</v>
      </c>
      <c r="N39" s="124">
        <v>0</v>
      </c>
      <c r="O39" s="150">
        <f t="shared" si="8"/>
        <v>0</v>
      </c>
      <c r="P39" s="145">
        <f t="shared" si="7"/>
        <v>0</v>
      </c>
      <c r="Q39" s="146">
        <f t="shared" si="5"/>
        <v>0</v>
      </c>
    </row>
    <row r="40" spans="1:17" x14ac:dyDescent="0.25">
      <c r="A40" t="s">
        <v>18</v>
      </c>
      <c r="B40" s="116">
        <v>15</v>
      </c>
      <c r="C40" s="19"/>
      <c r="D40" s="17">
        <f>TRUNC(20*Q40*(1-L7)*(1-N40))</f>
        <v>0</v>
      </c>
      <c r="E40" s="17"/>
      <c r="F40" s="17">
        <f>TRUNC(100*Q40*(1-L7)*(1-N40))</f>
        <v>0</v>
      </c>
      <c r="G40" s="17">
        <f>TRUNC(50*Q40*(1-L7)*(1-N40))</f>
        <v>0</v>
      </c>
      <c r="H40" s="17"/>
      <c r="I40" s="17"/>
      <c r="J40" s="17"/>
      <c r="K40" s="17"/>
      <c r="L40" s="18"/>
      <c r="M40" s="127" t="s">
        <v>173</v>
      </c>
      <c r="N40" s="124">
        <v>0</v>
      </c>
      <c r="O40" s="150">
        <f t="shared" si="8"/>
        <v>0</v>
      </c>
      <c r="P40" s="145">
        <f t="shared" si="7"/>
        <v>0</v>
      </c>
      <c r="Q40" s="146">
        <f t="shared" si="5"/>
        <v>0</v>
      </c>
    </row>
    <row r="41" spans="1:17" x14ac:dyDescent="0.25">
      <c r="A41" t="s">
        <v>19</v>
      </c>
      <c r="B41" s="116">
        <v>15</v>
      </c>
      <c r="C41" s="19"/>
      <c r="D41" s="17"/>
      <c r="E41" s="17"/>
      <c r="F41" s="17"/>
      <c r="G41" s="17">
        <f>TRUNC(170*Q41*(1-L7)*(1-N41))</f>
        <v>0</v>
      </c>
      <c r="H41" s="17"/>
      <c r="I41" s="17"/>
      <c r="J41" s="17"/>
      <c r="K41" s="17"/>
      <c r="L41" s="18"/>
      <c r="M41" s="127" t="s">
        <v>173</v>
      </c>
      <c r="N41" s="124">
        <v>0</v>
      </c>
      <c r="O41" s="150">
        <f t="shared" si="8"/>
        <v>0</v>
      </c>
      <c r="P41" s="145">
        <f t="shared" si="7"/>
        <v>0</v>
      </c>
      <c r="Q41" s="146">
        <f t="shared" si="5"/>
        <v>0</v>
      </c>
    </row>
    <row r="42" spans="1:17" x14ac:dyDescent="0.25">
      <c r="A42" t="s">
        <v>20</v>
      </c>
      <c r="B42" s="116">
        <v>15</v>
      </c>
      <c r="C42" s="19"/>
      <c r="D42" s="17"/>
      <c r="E42" s="17">
        <f>TRUNC(90*Q42*(1-L7)*(1-N42))</f>
        <v>0</v>
      </c>
      <c r="F42" s="17">
        <f>TRUNC(40*Q42*(1-L7)*(1-N42))</f>
        <v>0</v>
      </c>
      <c r="G42" s="17"/>
      <c r="H42" s="17"/>
      <c r="I42" s="17"/>
      <c r="J42" s="17"/>
      <c r="K42" s="17">
        <f>TRUNC(40*Q42*(1-L7)*(1-N42))</f>
        <v>0</v>
      </c>
      <c r="L42" s="18"/>
      <c r="M42" s="127" t="s">
        <v>173</v>
      </c>
      <c r="N42" s="124">
        <v>0</v>
      </c>
      <c r="O42" s="150">
        <f t="shared" si="8"/>
        <v>0</v>
      </c>
      <c r="P42" s="145">
        <f t="shared" si="7"/>
        <v>0</v>
      </c>
      <c r="Q42" s="146">
        <f t="shared" si="5"/>
        <v>0</v>
      </c>
    </row>
    <row r="43" spans="1:17" ht="15.75" thickBot="1" x14ac:dyDescent="0.3">
      <c r="A43" t="s">
        <v>21</v>
      </c>
      <c r="B43" s="116">
        <v>15</v>
      </c>
      <c r="C43" s="19"/>
      <c r="D43" s="17"/>
      <c r="E43" s="17"/>
      <c r="F43" s="17"/>
      <c r="G43" s="17">
        <f>TRUNC(70*Q43*(1-L7)*(1-N43))</f>
        <v>0</v>
      </c>
      <c r="H43" s="17"/>
      <c r="I43" s="17"/>
      <c r="J43" s="17"/>
      <c r="K43" s="17">
        <f>TRUNC(100*Q43*(1-L7)*(1-N43))</f>
        <v>0</v>
      </c>
      <c r="L43" s="18"/>
      <c r="M43" s="127" t="s">
        <v>173</v>
      </c>
      <c r="N43" s="124">
        <v>0</v>
      </c>
      <c r="O43" s="150">
        <f t="shared" si="8"/>
        <v>0</v>
      </c>
      <c r="P43" s="145">
        <f t="shared" si="7"/>
        <v>0</v>
      </c>
      <c r="Q43" s="146">
        <f t="shared" si="5"/>
        <v>0</v>
      </c>
    </row>
    <row r="44" spans="1:17" ht="15.75" thickBot="1" x14ac:dyDescent="0.3">
      <c r="A44" s="3" t="s">
        <v>24</v>
      </c>
      <c r="B44" s="117" t="s">
        <v>166</v>
      </c>
      <c r="C44" s="91" t="s">
        <v>8</v>
      </c>
      <c r="D44" s="92" t="s">
        <v>9</v>
      </c>
      <c r="E44" s="92" t="s">
        <v>10</v>
      </c>
      <c r="F44" s="92" t="s">
        <v>137</v>
      </c>
      <c r="G44" s="92" t="s">
        <v>11</v>
      </c>
      <c r="H44" s="92" t="s">
        <v>138</v>
      </c>
      <c r="I44" s="92" t="s">
        <v>139</v>
      </c>
      <c r="J44" s="92" t="s">
        <v>12</v>
      </c>
      <c r="K44" s="92" t="s">
        <v>13</v>
      </c>
      <c r="L44" s="93" t="s">
        <v>105</v>
      </c>
      <c r="M44" s="93"/>
      <c r="N44" s="93"/>
      <c r="O44" s="151"/>
      <c r="P44" s="147"/>
      <c r="Q44" s="148"/>
    </row>
    <row r="45" spans="1:17" x14ac:dyDescent="0.25">
      <c r="A45" t="s">
        <v>25</v>
      </c>
      <c r="B45" s="115">
        <v>15</v>
      </c>
      <c r="C45" s="15"/>
      <c r="D45" s="15">
        <f>TRUNC(20*Q45*(1-L7)*(1-N45))</f>
        <v>0</v>
      </c>
      <c r="E45" s="15"/>
      <c r="F45" s="15"/>
      <c r="G45" s="15"/>
      <c r="H45" s="15"/>
      <c r="I45" s="15">
        <f>TRUNC(150*Q45*(1-L7)*(1-N45))</f>
        <v>0</v>
      </c>
      <c r="J45" s="15"/>
      <c r="K45" s="15"/>
      <c r="L45" s="16">
        <f>TRUNC(40*Q45*(1-L7)*(1-N45))</f>
        <v>0</v>
      </c>
      <c r="M45" s="127" t="s">
        <v>173</v>
      </c>
      <c r="N45" s="124">
        <v>0</v>
      </c>
      <c r="O45" s="149">
        <f>IF(E$6="Cyrodiil",60000*Q45*(1-L$7)*(1-N45),30000*Q45*(1-L$7)*(1-N45))</f>
        <v>0</v>
      </c>
      <c r="P45" s="145">
        <f t="shared" si="7"/>
        <v>0</v>
      </c>
      <c r="Q45" s="146">
        <f t="shared" si="5"/>
        <v>0</v>
      </c>
    </row>
    <row r="46" spans="1:17" x14ac:dyDescent="0.25">
      <c r="A46" t="s">
        <v>27</v>
      </c>
      <c r="B46" s="116">
        <v>15</v>
      </c>
      <c r="C46" s="17"/>
      <c r="D46" s="17">
        <f>TRUNC(120*Q46*(1-L7)*(1-N46))</f>
        <v>0</v>
      </c>
      <c r="E46" s="17">
        <f>TRUNC(50*Q46*(1-L7)*(1-N46))</f>
        <v>0</v>
      </c>
      <c r="F46" s="17"/>
      <c r="G46" s="17"/>
      <c r="H46" s="17"/>
      <c r="I46" s="17"/>
      <c r="J46" s="17"/>
      <c r="K46" s="17"/>
      <c r="L46" s="18"/>
      <c r="M46" s="127" t="s">
        <v>173</v>
      </c>
      <c r="N46" s="124">
        <v>0</v>
      </c>
      <c r="O46" s="150">
        <f>30000*Q46*(1-L$7)*(1-N46)</f>
        <v>0</v>
      </c>
      <c r="P46" s="145">
        <f t="shared" si="7"/>
        <v>0</v>
      </c>
      <c r="Q46" s="146">
        <f t="shared" si="5"/>
        <v>0</v>
      </c>
    </row>
    <row r="47" spans="1:17" x14ac:dyDescent="0.25">
      <c r="A47" t="s">
        <v>26</v>
      </c>
      <c r="B47" s="116">
        <v>15</v>
      </c>
      <c r="C47" s="17"/>
      <c r="D47" s="17">
        <f>TRUNC(60*Q47*(1-L7)*(1-N47))</f>
        <v>0</v>
      </c>
      <c r="E47" s="17">
        <f>TRUNC(110*Q47*(1-L7)*(1-N47))</f>
        <v>0</v>
      </c>
      <c r="F47" s="17"/>
      <c r="G47" s="17"/>
      <c r="H47" s="17"/>
      <c r="I47" s="17"/>
      <c r="J47" s="17"/>
      <c r="K47" s="17"/>
      <c r="L47" s="18"/>
      <c r="M47" s="127" t="s">
        <v>173</v>
      </c>
      <c r="N47" s="124">
        <v>0</v>
      </c>
      <c r="O47" s="150">
        <f>30000*Q47*(1-L$7)*(1-N47)</f>
        <v>0</v>
      </c>
      <c r="P47" s="145">
        <f t="shared" si="7"/>
        <v>0</v>
      </c>
      <c r="Q47" s="146">
        <f t="shared" si="5"/>
        <v>0</v>
      </c>
    </row>
    <row r="48" spans="1:17" x14ac:dyDescent="0.25">
      <c r="A48" t="s">
        <v>28</v>
      </c>
      <c r="B48" s="116">
        <v>15</v>
      </c>
      <c r="C48" s="17"/>
      <c r="D48" s="17">
        <f>TRUNC(170*Q48*(1-L7)*(1-N48))</f>
        <v>0</v>
      </c>
      <c r="E48" s="17"/>
      <c r="F48" s="17"/>
      <c r="G48" s="17"/>
      <c r="H48" s="17"/>
      <c r="I48" s="17"/>
      <c r="J48" s="17"/>
      <c r="K48" s="17"/>
      <c r="L48" s="18"/>
      <c r="M48" s="127" t="s">
        <v>173</v>
      </c>
      <c r="N48" s="124">
        <v>0</v>
      </c>
      <c r="O48" s="150">
        <f t="shared" ref="O48:O53" si="9">30000*Q48*(1-L$7)*(1-N48)</f>
        <v>0</v>
      </c>
      <c r="P48" s="145">
        <f t="shared" si="7"/>
        <v>0</v>
      </c>
      <c r="Q48" s="146">
        <f t="shared" si="5"/>
        <v>0</v>
      </c>
    </row>
    <row r="49" spans="1:17" x14ac:dyDescent="0.25">
      <c r="A49" t="s">
        <v>29</v>
      </c>
      <c r="B49" s="116">
        <v>15</v>
      </c>
      <c r="C49" s="17"/>
      <c r="D49" s="17"/>
      <c r="E49" s="17"/>
      <c r="F49" s="17"/>
      <c r="G49" s="17"/>
      <c r="H49" s="17"/>
      <c r="I49" s="17"/>
      <c r="J49" s="17">
        <f>TRUNC(170*Q49*(1-L7)*(1-N49))</f>
        <v>0</v>
      </c>
      <c r="K49" s="17"/>
      <c r="L49" s="18"/>
      <c r="M49" s="127" t="s">
        <v>173</v>
      </c>
      <c r="N49" s="124">
        <v>0</v>
      </c>
      <c r="O49" s="150">
        <f t="shared" si="9"/>
        <v>0</v>
      </c>
      <c r="P49" s="145">
        <f t="shared" si="7"/>
        <v>0</v>
      </c>
      <c r="Q49" s="146">
        <f t="shared" si="5"/>
        <v>0</v>
      </c>
    </row>
    <row r="50" spans="1:17" x14ac:dyDescent="0.25">
      <c r="A50" t="s">
        <v>58</v>
      </c>
      <c r="B50" s="116">
        <v>15</v>
      </c>
      <c r="C50" s="17">
        <f>TRUNC(170*Q50*(1-L7)*(1-N50))</f>
        <v>170</v>
      </c>
      <c r="D50" s="17"/>
      <c r="E50" s="17"/>
      <c r="F50" s="17"/>
      <c r="G50" s="17"/>
      <c r="H50" s="17"/>
      <c r="I50" s="17"/>
      <c r="J50" s="17"/>
      <c r="K50" s="17"/>
      <c r="L50" s="18"/>
      <c r="M50" s="127" t="s">
        <v>174</v>
      </c>
      <c r="N50" s="124">
        <v>0</v>
      </c>
      <c r="O50" s="150">
        <f t="shared" si="9"/>
        <v>30000</v>
      </c>
      <c r="P50" s="145">
        <f t="shared" si="7"/>
        <v>15</v>
      </c>
      <c r="Q50" s="146">
        <f t="shared" si="5"/>
        <v>1</v>
      </c>
    </row>
    <row r="51" spans="1:17" x14ac:dyDescent="0.25">
      <c r="A51" t="s">
        <v>30</v>
      </c>
      <c r="B51" s="116">
        <v>15</v>
      </c>
      <c r="C51" s="17">
        <f>TRUNC(100*Q51*(1-L7)*(1-N51))</f>
        <v>100</v>
      </c>
      <c r="D51" s="17"/>
      <c r="E51" s="17"/>
      <c r="F51" s="17"/>
      <c r="G51" s="17"/>
      <c r="H51" s="17"/>
      <c r="I51" s="17"/>
      <c r="J51" s="17">
        <f>TRUNC(70*Q51*(1-L7)*(1-N51))</f>
        <v>70</v>
      </c>
      <c r="K51" s="17"/>
      <c r="L51" s="18"/>
      <c r="M51" s="127" t="s">
        <v>174</v>
      </c>
      <c r="N51" s="124">
        <v>0</v>
      </c>
      <c r="O51" s="150">
        <f t="shared" si="9"/>
        <v>30000</v>
      </c>
      <c r="P51" s="145">
        <f t="shared" si="7"/>
        <v>15</v>
      </c>
      <c r="Q51" s="146">
        <f t="shared" si="5"/>
        <v>1</v>
      </c>
    </row>
    <row r="52" spans="1:17" x14ac:dyDescent="0.25">
      <c r="A52" t="s">
        <v>31</v>
      </c>
      <c r="B52" s="116">
        <v>15</v>
      </c>
      <c r="C52" s="17">
        <f>TRUNC(90*Q52*(1-L7)*(1-N52))</f>
        <v>0</v>
      </c>
      <c r="D52" s="17"/>
      <c r="E52" s="17">
        <f>TRUNC(40*Q52*(1-L7)*(1-N52))</f>
        <v>0</v>
      </c>
      <c r="F52" s="17">
        <f>TRUNC(40*Q52*(1-L7)*(1-N52))</f>
        <v>0</v>
      </c>
      <c r="G52" s="17"/>
      <c r="H52" s="17"/>
      <c r="I52" s="17"/>
      <c r="J52" s="17"/>
      <c r="K52" s="17"/>
      <c r="L52" s="18"/>
      <c r="M52" s="127" t="s">
        <v>173</v>
      </c>
      <c r="N52" s="124">
        <v>0</v>
      </c>
      <c r="O52" s="150">
        <f t="shared" si="9"/>
        <v>0</v>
      </c>
      <c r="P52" s="145">
        <f t="shared" si="7"/>
        <v>0</v>
      </c>
      <c r="Q52" s="146">
        <f t="shared" si="5"/>
        <v>0</v>
      </c>
    </row>
    <row r="53" spans="1:17" ht="15.75" thickBot="1" x14ac:dyDescent="0.3">
      <c r="A53" t="s">
        <v>32</v>
      </c>
      <c r="B53" s="118">
        <v>15</v>
      </c>
      <c r="C53" s="20">
        <f>TRUNC(110*Q53*(1-L7)*(1-N53))</f>
        <v>0</v>
      </c>
      <c r="D53" s="21"/>
      <c r="E53" s="21"/>
      <c r="F53" s="21"/>
      <c r="G53" s="21"/>
      <c r="H53" s="21">
        <f>TRUNC(60*Q53*(1-L7)*(1-N53))</f>
        <v>0</v>
      </c>
      <c r="I53" s="21"/>
      <c r="J53" s="21"/>
      <c r="K53" s="21"/>
      <c r="L53" s="22"/>
      <c r="M53" s="127" t="s">
        <v>173</v>
      </c>
      <c r="N53" s="124">
        <v>0</v>
      </c>
      <c r="O53" s="150">
        <f t="shared" si="9"/>
        <v>0</v>
      </c>
      <c r="P53" s="145">
        <f t="shared" si="7"/>
        <v>0</v>
      </c>
      <c r="Q53" s="146">
        <f t="shared" si="5"/>
        <v>0</v>
      </c>
    </row>
    <row r="54" spans="1:17" ht="15.75" thickBot="1" x14ac:dyDescent="0.3">
      <c r="A54" s="3" t="s">
        <v>33</v>
      </c>
      <c r="B54" s="117" t="s">
        <v>166</v>
      </c>
      <c r="C54" s="91" t="s">
        <v>8</v>
      </c>
      <c r="D54" s="92" t="s">
        <v>9</v>
      </c>
      <c r="E54" s="92" t="s">
        <v>10</v>
      </c>
      <c r="F54" s="92" t="s">
        <v>137</v>
      </c>
      <c r="G54" s="92" t="s">
        <v>11</v>
      </c>
      <c r="H54" s="92" t="s">
        <v>138</v>
      </c>
      <c r="I54" s="92" t="s">
        <v>139</v>
      </c>
      <c r="J54" s="92" t="s">
        <v>12</v>
      </c>
      <c r="K54" s="92" t="s">
        <v>13</v>
      </c>
      <c r="L54" s="93" t="s">
        <v>105</v>
      </c>
      <c r="M54" s="93"/>
      <c r="N54" s="93"/>
      <c r="O54" s="151"/>
      <c r="P54" s="147"/>
      <c r="Q54" s="148"/>
    </row>
    <row r="55" spans="1:17" x14ac:dyDescent="0.25">
      <c r="A55" t="s">
        <v>34</v>
      </c>
      <c r="B55" s="115">
        <v>15</v>
      </c>
      <c r="C55" s="15"/>
      <c r="D55" s="15">
        <f>TRUNC(150*Q55*(1-L7)*(1-N55))</f>
        <v>0</v>
      </c>
      <c r="E55" s="15"/>
      <c r="F55" s="15"/>
      <c r="G55" s="15"/>
      <c r="H55" s="15"/>
      <c r="I55" s="15"/>
      <c r="J55" s="15">
        <f>TRUNC(60*Q55*(1-L7)*(1-N55))</f>
        <v>0</v>
      </c>
      <c r="K55" s="15"/>
      <c r="L55" s="16"/>
      <c r="M55" s="127" t="s">
        <v>173</v>
      </c>
      <c r="N55" s="124">
        <v>0</v>
      </c>
      <c r="O55" s="149">
        <f>IF(E$6="Elsweyr",60000*Q55*(1-L$7)*(1-N55),30000*Q55*(1-L$7)*(1-N55))</f>
        <v>0</v>
      </c>
      <c r="P55" s="145">
        <f t="shared" si="7"/>
        <v>0</v>
      </c>
      <c r="Q55" s="146">
        <f t="shared" si="5"/>
        <v>0</v>
      </c>
    </row>
    <row r="56" spans="1:17" x14ac:dyDescent="0.25">
      <c r="A56" t="s">
        <v>35</v>
      </c>
      <c r="B56" s="116">
        <v>15</v>
      </c>
      <c r="C56" s="17"/>
      <c r="D56" s="17"/>
      <c r="E56" s="17"/>
      <c r="F56" s="17">
        <f>TRUNC(70*Q56*(1-L7)*(1-N56))</f>
        <v>0</v>
      </c>
      <c r="G56" s="17"/>
      <c r="H56" s="17">
        <f>TRUNC(100*Q56*(1-L7)*(1-N56))</f>
        <v>0</v>
      </c>
      <c r="I56" s="17"/>
      <c r="J56" s="17"/>
      <c r="K56" s="17"/>
      <c r="L56" s="18"/>
      <c r="M56" s="127" t="s">
        <v>173</v>
      </c>
      <c r="N56" s="124">
        <v>0</v>
      </c>
      <c r="O56" s="150">
        <f t="shared" ref="O56:O61" si="10">30000*Q56*(1-L$7)*(1-N56)</f>
        <v>0</v>
      </c>
      <c r="P56" s="145">
        <f t="shared" si="7"/>
        <v>0</v>
      </c>
      <c r="Q56" s="146">
        <f t="shared" si="5"/>
        <v>0</v>
      </c>
    </row>
    <row r="57" spans="1:17" x14ac:dyDescent="0.25">
      <c r="A57" t="s">
        <v>36</v>
      </c>
      <c r="B57" s="116">
        <v>15</v>
      </c>
      <c r="C57" s="17"/>
      <c r="D57" s="17"/>
      <c r="E57" s="17"/>
      <c r="F57" s="17"/>
      <c r="G57" s="17"/>
      <c r="H57" s="17"/>
      <c r="I57" s="17"/>
      <c r="J57" s="17">
        <f>TRUNC(170*Q57*(1-L7)*(1-N57))</f>
        <v>0</v>
      </c>
      <c r="K57" s="17"/>
      <c r="L57" s="18"/>
      <c r="M57" s="127" t="s">
        <v>173</v>
      </c>
      <c r="N57" s="124">
        <v>0</v>
      </c>
      <c r="O57" s="150">
        <f t="shared" si="10"/>
        <v>0</v>
      </c>
      <c r="P57" s="145">
        <f t="shared" si="7"/>
        <v>0</v>
      </c>
      <c r="Q57" s="146">
        <f t="shared" si="5"/>
        <v>0</v>
      </c>
    </row>
    <row r="58" spans="1:17" x14ac:dyDescent="0.25">
      <c r="A58" t="s">
        <v>37</v>
      </c>
      <c r="B58" s="116">
        <v>15</v>
      </c>
      <c r="C58" s="17"/>
      <c r="D58" s="17"/>
      <c r="E58" s="17"/>
      <c r="F58" s="17"/>
      <c r="G58" s="17"/>
      <c r="H58" s="17">
        <f>TRUNC(170*Q58*(1-L7)*(1-N58))</f>
        <v>0</v>
      </c>
      <c r="I58" s="17"/>
      <c r="J58" s="17"/>
      <c r="K58" s="17"/>
      <c r="L58" s="18"/>
      <c r="M58" s="127" t="s">
        <v>173</v>
      </c>
      <c r="N58" s="124">
        <v>0</v>
      </c>
      <c r="O58" s="150">
        <f t="shared" si="10"/>
        <v>0</v>
      </c>
      <c r="P58" s="145">
        <f t="shared" si="7"/>
        <v>0</v>
      </c>
      <c r="Q58" s="146">
        <f t="shared" si="5"/>
        <v>0</v>
      </c>
    </row>
    <row r="59" spans="1:17" x14ac:dyDescent="0.25">
      <c r="A59" t="s">
        <v>38</v>
      </c>
      <c r="B59" s="116">
        <v>15</v>
      </c>
      <c r="C59" s="17"/>
      <c r="D59" s="17"/>
      <c r="E59" s="17"/>
      <c r="F59" s="17">
        <f>TRUNC(130*Q59*(1-L7)*(1-N59))</f>
        <v>0</v>
      </c>
      <c r="G59" s="17"/>
      <c r="H59" s="17"/>
      <c r="I59" s="17"/>
      <c r="J59" s="17">
        <f>TRUNC(40*Q59*(1-L7)*(1-N59))</f>
        <v>0</v>
      </c>
      <c r="K59" s="17"/>
      <c r="L59" s="18"/>
      <c r="M59" s="127" t="s">
        <v>173</v>
      </c>
      <c r="N59" s="124">
        <v>0</v>
      </c>
      <c r="O59" s="150">
        <f t="shared" si="10"/>
        <v>0</v>
      </c>
      <c r="P59" s="145">
        <f t="shared" si="7"/>
        <v>0</v>
      </c>
      <c r="Q59" s="146">
        <f t="shared" si="5"/>
        <v>0</v>
      </c>
    </row>
    <row r="60" spans="1:17" x14ac:dyDescent="0.25">
      <c r="A60" t="s">
        <v>39</v>
      </c>
      <c r="B60" s="116">
        <v>15</v>
      </c>
      <c r="C60" s="17"/>
      <c r="D60" s="17"/>
      <c r="E60" s="17"/>
      <c r="F60" s="17"/>
      <c r="G60" s="17"/>
      <c r="H60" s="17"/>
      <c r="I60" s="17"/>
      <c r="J60" s="17">
        <f>TRUNC(60*Q60*(1-L7)*(1-N60))</f>
        <v>0</v>
      </c>
      <c r="K60" s="17"/>
      <c r="L60" s="18">
        <f>TRUNC(110*Q60*(1-L7)*(1-N60))</f>
        <v>0</v>
      </c>
      <c r="M60" s="127" t="s">
        <v>173</v>
      </c>
      <c r="N60" s="124">
        <v>0</v>
      </c>
      <c r="O60" s="150">
        <f t="shared" si="10"/>
        <v>0</v>
      </c>
      <c r="P60" s="145">
        <f t="shared" si="7"/>
        <v>0</v>
      </c>
      <c r="Q60" s="146">
        <f t="shared" si="5"/>
        <v>0</v>
      </c>
    </row>
    <row r="61" spans="1:17" ht="15.75" thickBot="1" x14ac:dyDescent="0.3">
      <c r="A61" t="s">
        <v>40</v>
      </c>
      <c r="B61" s="116">
        <v>15</v>
      </c>
      <c r="C61" s="17">
        <f>TRUNC(30*Q61*(1-L7)*(1-N61))</f>
        <v>0</v>
      </c>
      <c r="D61" s="17"/>
      <c r="E61" s="17">
        <f>TRUNC(60*Q61*(1-L7)*(1-N61))</f>
        <v>0</v>
      </c>
      <c r="F61" s="17"/>
      <c r="G61" s="17"/>
      <c r="H61" s="17"/>
      <c r="I61" s="17"/>
      <c r="J61" s="17">
        <f>TRUNC(80*Q61*(1-L7)*(1-N61))</f>
        <v>0</v>
      </c>
      <c r="K61" s="17"/>
      <c r="L61" s="18"/>
      <c r="M61" s="127" t="s">
        <v>173</v>
      </c>
      <c r="N61" s="124">
        <v>0</v>
      </c>
      <c r="O61" s="150">
        <f t="shared" si="10"/>
        <v>0</v>
      </c>
      <c r="P61" s="145">
        <f t="shared" si="7"/>
        <v>0</v>
      </c>
      <c r="Q61" s="146">
        <f t="shared" si="5"/>
        <v>0</v>
      </c>
    </row>
    <row r="62" spans="1:17" ht="15.75" thickBot="1" x14ac:dyDescent="0.3">
      <c r="A62" s="3" t="s">
        <v>41</v>
      </c>
      <c r="B62" s="117" t="s">
        <v>166</v>
      </c>
      <c r="C62" s="91" t="s">
        <v>8</v>
      </c>
      <c r="D62" s="92" t="s">
        <v>9</v>
      </c>
      <c r="E62" s="92" t="s">
        <v>10</v>
      </c>
      <c r="F62" s="92" t="s">
        <v>137</v>
      </c>
      <c r="G62" s="92" t="s">
        <v>11</v>
      </c>
      <c r="H62" s="92" t="s">
        <v>138</v>
      </c>
      <c r="I62" s="92" t="s">
        <v>139</v>
      </c>
      <c r="J62" s="92" t="s">
        <v>12</v>
      </c>
      <c r="K62" s="92" t="s">
        <v>13</v>
      </c>
      <c r="L62" s="93" t="s">
        <v>105</v>
      </c>
      <c r="M62" s="93"/>
      <c r="N62" s="93"/>
      <c r="O62" s="151"/>
      <c r="P62" s="147"/>
      <c r="Q62" s="148"/>
    </row>
    <row r="63" spans="1:17" x14ac:dyDescent="0.25">
      <c r="A63" t="s">
        <v>42</v>
      </c>
      <c r="B63" s="115">
        <v>15</v>
      </c>
      <c r="C63" s="15"/>
      <c r="D63" s="15">
        <f>TRUNC(60*Q63*(1-L7)*(1-N63))</f>
        <v>0</v>
      </c>
      <c r="E63" s="15"/>
      <c r="F63" s="15"/>
      <c r="G63" s="15"/>
      <c r="H63" s="15"/>
      <c r="I63" s="15"/>
      <c r="J63" s="15"/>
      <c r="K63" s="15"/>
      <c r="L63" s="16">
        <f>TRUNC(150*Q63*(1-L7)*(1-N63))</f>
        <v>0</v>
      </c>
      <c r="M63" s="127" t="s">
        <v>173</v>
      </c>
      <c r="N63" s="124">
        <v>0</v>
      </c>
      <c r="O63" s="149">
        <f>IF(E$6="Hauteroche",60000*Q63*(1-L$7)*(1-N63),30000*Q63*(1-L$7)*(1-N63))</f>
        <v>0</v>
      </c>
      <c r="P63" s="145">
        <f t="shared" si="7"/>
        <v>0</v>
      </c>
      <c r="Q63" s="146">
        <f t="shared" si="5"/>
        <v>0</v>
      </c>
    </row>
    <row r="64" spans="1:17" x14ac:dyDescent="0.25">
      <c r="A64" t="s">
        <v>43</v>
      </c>
      <c r="B64" s="116">
        <v>15</v>
      </c>
      <c r="C64" s="17"/>
      <c r="D64" s="17">
        <f>TRUNC(70*Q64*(1-L7)*(1-N64))</f>
        <v>0</v>
      </c>
      <c r="E64" s="17"/>
      <c r="F64" s="17"/>
      <c r="G64" s="17"/>
      <c r="H64" s="17"/>
      <c r="I64" s="17"/>
      <c r="J64" s="17"/>
      <c r="K64" s="17"/>
      <c r="L64" s="18">
        <f>TRUNC(100*Q64*(1-L7)*(1-N64))</f>
        <v>0</v>
      </c>
      <c r="M64" s="127" t="s">
        <v>173</v>
      </c>
      <c r="N64" s="124">
        <v>0</v>
      </c>
      <c r="O64" s="150">
        <f t="shared" ref="O64:O70" si="11">30000*Q64*(1-L$7)*(1-N64)</f>
        <v>0</v>
      </c>
      <c r="P64" s="145">
        <f t="shared" si="7"/>
        <v>0</v>
      </c>
      <c r="Q64" s="146">
        <f t="shared" si="5"/>
        <v>0</v>
      </c>
    </row>
    <row r="65" spans="1:17" x14ac:dyDescent="0.25">
      <c r="A65" t="s">
        <v>44</v>
      </c>
      <c r="B65" s="116">
        <v>15</v>
      </c>
      <c r="C65" s="17"/>
      <c r="D65" s="17">
        <f>TRUNC(80*Q65*(1-L7)*(1-N65))</f>
        <v>0</v>
      </c>
      <c r="E65" s="17">
        <f>TRUNC(20*Q65*(1-L7)*(1-N65))</f>
        <v>0</v>
      </c>
      <c r="F65" s="17"/>
      <c r="G65" s="17"/>
      <c r="H65" s="17"/>
      <c r="I65" s="17"/>
      <c r="J65" s="17"/>
      <c r="K65" s="17">
        <f>TRUNC(70*Q65*(1-L7)*(1-N65))</f>
        <v>0</v>
      </c>
      <c r="L65" s="18"/>
      <c r="M65" s="127" t="s">
        <v>173</v>
      </c>
      <c r="N65" s="124">
        <v>0</v>
      </c>
      <c r="O65" s="150">
        <f t="shared" si="11"/>
        <v>0</v>
      </c>
      <c r="P65" s="145">
        <f t="shared" si="7"/>
        <v>0</v>
      </c>
      <c r="Q65" s="146">
        <f t="shared" si="5"/>
        <v>0</v>
      </c>
    </row>
    <row r="66" spans="1:17" x14ac:dyDescent="0.25">
      <c r="A66" t="s">
        <v>45</v>
      </c>
      <c r="B66" s="116">
        <v>15</v>
      </c>
      <c r="C66" s="17">
        <f>TRUNC(100*Q66*(1-L7)*(1-N66))</f>
        <v>0</v>
      </c>
      <c r="D66" s="17">
        <f>TRUNC(70*Q66*(1-L7)*(1-N66))</f>
        <v>0</v>
      </c>
      <c r="E66" s="17"/>
      <c r="F66" s="17"/>
      <c r="G66" s="17"/>
      <c r="H66" s="17"/>
      <c r="I66" s="17"/>
      <c r="J66" s="17"/>
      <c r="K66" s="17"/>
      <c r="L66" s="18"/>
      <c r="M66" s="127" t="s">
        <v>173</v>
      </c>
      <c r="N66" s="124">
        <v>0</v>
      </c>
      <c r="O66" s="150">
        <f t="shared" si="11"/>
        <v>0</v>
      </c>
      <c r="P66" s="145">
        <f t="shared" si="7"/>
        <v>0</v>
      </c>
      <c r="Q66" s="146">
        <f t="shared" si="5"/>
        <v>0</v>
      </c>
    </row>
    <row r="67" spans="1:17" x14ac:dyDescent="0.25">
      <c r="A67" t="s">
        <v>46</v>
      </c>
      <c r="B67" s="116">
        <v>15</v>
      </c>
      <c r="C67" s="17">
        <f>TRUNC(120*Q67*(1-L7)*(1-N67))</f>
        <v>0</v>
      </c>
      <c r="D67" s="17">
        <f>TRUNC(50*Q67*(1-L7)*(1-N67))</f>
        <v>0</v>
      </c>
      <c r="E67" s="17"/>
      <c r="F67" s="17"/>
      <c r="G67" s="17"/>
      <c r="H67" s="17"/>
      <c r="I67" s="17"/>
      <c r="J67" s="17"/>
      <c r="K67" s="17"/>
      <c r="L67" s="18"/>
      <c r="M67" s="127" t="s">
        <v>173</v>
      </c>
      <c r="N67" s="124">
        <v>0</v>
      </c>
      <c r="O67" s="150">
        <f t="shared" si="11"/>
        <v>0</v>
      </c>
      <c r="P67" s="145">
        <f t="shared" si="7"/>
        <v>0</v>
      </c>
      <c r="Q67" s="146">
        <f t="shared" si="5"/>
        <v>0</v>
      </c>
    </row>
    <row r="68" spans="1:17" x14ac:dyDescent="0.25">
      <c r="A68" t="s">
        <v>47</v>
      </c>
      <c r="B68" s="116">
        <v>15</v>
      </c>
      <c r="C68" s="17"/>
      <c r="D68" s="17"/>
      <c r="E68" s="17"/>
      <c r="F68" s="17"/>
      <c r="G68" s="17">
        <f>TRUNC(100*Q68*(1-L7)*(1-N68))</f>
        <v>0</v>
      </c>
      <c r="H68" s="17"/>
      <c r="I68" s="17"/>
      <c r="J68" s="17"/>
      <c r="K68" s="17"/>
      <c r="L68" s="18">
        <f>TRUNC(70*Q68*(1-L7)*(1-N68))</f>
        <v>0</v>
      </c>
      <c r="M68" s="127" t="s">
        <v>173</v>
      </c>
      <c r="N68" s="124">
        <v>0</v>
      </c>
      <c r="O68" s="150">
        <f t="shared" si="11"/>
        <v>0</v>
      </c>
      <c r="P68" s="145">
        <f t="shared" si="7"/>
        <v>0</v>
      </c>
      <c r="Q68" s="146">
        <f t="shared" si="5"/>
        <v>0</v>
      </c>
    </row>
    <row r="69" spans="1:17" x14ac:dyDescent="0.25">
      <c r="A69" t="s">
        <v>48</v>
      </c>
      <c r="B69" s="116">
        <v>15</v>
      </c>
      <c r="C69" s="17"/>
      <c r="D69" s="17">
        <f>TRUNC(90*Q69*(1-L7)*(1-N69))</f>
        <v>0</v>
      </c>
      <c r="E69" s="17"/>
      <c r="F69" s="17"/>
      <c r="G69" s="17"/>
      <c r="H69" s="17">
        <f>TRUNC(80*Q69*(1-L7)*(1-N69))</f>
        <v>0</v>
      </c>
      <c r="I69" s="17"/>
      <c r="J69" s="17"/>
      <c r="K69" s="17"/>
      <c r="L69" s="18"/>
      <c r="M69" s="127" t="s">
        <v>173</v>
      </c>
      <c r="N69" s="124">
        <v>0</v>
      </c>
      <c r="O69" s="150">
        <f t="shared" si="11"/>
        <v>0</v>
      </c>
      <c r="P69" s="145">
        <f t="shared" si="7"/>
        <v>0</v>
      </c>
      <c r="Q69" s="146">
        <f t="shared" si="5"/>
        <v>0</v>
      </c>
    </row>
    <row r="70" spans="1:17" ht="15.75" thickBot="1" x14ac:dyDescent="0.3">
      <c r="A70" t="s">
        <v>104</v>
      </c>
      <c r="B70" s="116">
        <v>15</v>
      </c>
      <c r="C70" s="17"/>
      <c r="D70" s="17"/>
      <c r="E70" s="17"/>
      <c r="F70" s="17"/>
      <c r="G70" s="17">
        <f>TRUNC(70*Q70*(1-L7)*(1-N70))</f>
        <v>0</v>
      </c>
      <c r="H70" s="17">
        <f>TRUNC(100*Q70*(1-L7)*(1-N70))</f>
        <v>0</v>
      </c>
      <c r="I70" s="17"/>
      <c r="J70" s="17"/>
      <c r="K70" s="17"/>
      <c r="L70" s="18"/>
      <c r="M70" s="127" t="s">
        <v>173</v>
      </c>
      <c r="N70" s="124">
        <v>0</v>
      </c>
      <c r="O70" s="150">
        <f t="shared" si="11"/>
        <v>0</v>
      </c>
      <c r="P70" s="145">
        <f t="shared" si="7"/>
        <v>0</v>
      </c>
      <c r="Q70" s="146">
        <f t="shared" si="5"/>
        <v>0</v>
      </c>
    </row>
    <row r="71" spans="1:17" ht="15.75" thickBot="1" x14ac:dyDescent="0.3">
      <c r="A71" s="3" t="s">
        <v>49</v>
      </c>
      <c r="B71" s="117" t="s">
        <v>166</v>
      </c>
      <c r="C71" s="91" t="s">
        <v>8</v>
      </c>
      <c r="D71" s="92" t="s">
        <v>9</v>
      </c>
      <c r="E71" s="92" t="s">
        <v>10</v>
      </c>
      <c r="F71" s="92" t="s">
        <v>137</v>
      </c>
      <c r="G71" s="92" t="s">
        <v>11</v>
      </c>
      <c r="H71" s="92" t="s">
        <v>138</v>
      </c>
      <c r="I71" s="92" t="s">
        <v>139</v>
      </c>
      <c r="J71" s="92" t="s">
        <v>12</v>
      </c>
      <c r="K71" s="92" t="s">
        <v>13</v>
      </c>
      <c r="L71" s="93" t="s">
        <v>105</v>
      </c>
      <c r="M71" s="93"/>
      <c r="N71" s="93"/>
      <c r="O71" s="151"/>
      <c r="P71" s="147"/>
      <c r="Q71" s="148"/>
    </row>
    <row r="72" spans="1:17" x14ac:dyDescent="0.25">
      <c r="A72" t="s">
        <v>50</v>
      </c>
      <c r="B72" s="115">
        <v>15</v>
      </c>
      <c r="C72" s="15"/>
      <c r="D72" s="15"/>
      <c r="E72" s="15"/>
      <c r="F72" s="15">
        <f>TRUNC(110*Q72*(1-L7)*(1-N72))</f>
        <v>0</v>
      </c>
      <c r="G72" s="15"/>
      <c r="H72" s="15"/>
      <c r="I72" s="15">
        <f>TRUNC(100*Q72*(1-L7)*(1-N72))</f>
        <v>0</v>
      </c>
      <c r="J72" s="15"/>
      <c r="K72" s="15"/>
      <c r="L72" s="16"/>
      <c r="M72" s="127" t="s">
        <v>173</v>
      </c>
      <c r="N72" s="124">
        <v>0</v>
      </c>
      <c r="O72" s="149">
        <f>IF(E$6="Lenclume",60000*Q72*(1-L$7)*(1-N72),30000*Q72*(1-L$7)*(1-N72))</f>
        <v>0</v>
      </c>
      <c r="P72" s="145">
        <f t="shared" si="7"/>
        <v>0</v>
      </c>
      <c r="Q72" s="146">
        <f t="shared" si="5"/>
        <v>0</v>
      </c>
    </row>
    <row r="73" spans="1:17" x14ac:dyDescent="0.25">
      <c r="A73" t="s">
        <v>51</v>
      </c>
      <c r="B73" s="116">
        <v>15</v>
      </c>
      <c r="C73" s="17"/>
      <c r="D73" s="17"/>
      <c r="E73" s="17"/>
      <c r="F73" s="17"/>
      <c r="G73" s="17">
        <f>TRUNC(60*Q73*(1-L7)*(1-N73))</f>
        <v>0</v>
      </c>
      <c r="H73" s="17"/>
      <c r="I73" s="17"/>
      <c r="J73" s="17">
        <f>TRUNC(110*Q73*(1-L7)*(1-N73))</f>
        <v>0</v>
      </c>
      <c r="K73" s="17"/>
      <c r="L73" s="18"/>
      <c r="M73" s="127" t="s">
        <v>173</v>
      </c>
      <c r="N73" s="124">
        <v>0</v>
      </c>
      <c r="O73" s="150">
        <f t="shared" ref="O73:O79" si="12">30000*Q73*(1-L$7)*(1-N73)</f>
        <v>0</v>
      </c>
      <c r="P73" s="145">
        <f t="shared" si="7"/>
        <v>0</v>
      </c>
      <c r="Q73" s="146">
        <f t="shared" si="5"/>
        <v>0</v>
      </c>
    </row>
    <row r="74" spans="1:17" x14ac:dyDescent="0.25">
      <c r="A74" t="s">
        <v>52</v>
      </c>
      <c r="B74" s="116">
        <v>15</v>
      </c>
      <c r="C74" s="17"/>
      <c r="D74" s="17"/>
      <c r="E74" s="17"/>
      <c r="F74" s="17">
        <f>TRUNC(120*Q74*(1-L7)*(1-N74))</f>
        <v>0</v>
      </c>
      <c r="G74" s="17"/>
      <c r="H74" s="17"/>
      <c r="I74" s="17"/>
      <c r="J74" s="17">
        <f>TRUNC(50*Q74*(1-L7)*(1-N74))</f>
        <v>0</v>
      </c>
      <c r="K74" s="17"/>
      <c r="L74" s="18"/>
      <c r="M74" s="127" t="s">
        <v>173</v>
      </c>
      <c r="N74" s="124">
        <v>0</v>
      </c>
      <c r="O74" s="150">
        <f t="shared" si="12"/>
        <v>0</v>
      </c>
      <c r="P74" s="145">
        <f t="shared" si="7"/>
        <v>0</v>
      </c>
      <c r="Q74" s="146">
        <f t="shared" si="5"/>
        <v>0</v>
      </c>
    </row>
    <row r="75" spans="1:17" x14ac:dyDescent="0.25">
      <c r="A75" t="s">
        <v>53</v>
      </c>
      <c r="B75" s="116">
        <v>15</v>
      </c>
      <c r="C75" s="17"/>
      <c r="D75" s="17"/>
      <c r="E75" s="17"/>
      <c r="F75" s="17">
        <f>TRUNC(170*Q75*(1-L7)*(1-N75))</f>
        <v>0</v>
      </c>
      <c r="G75" s="17"/>
      <c r="H75" s="17"/>
      <c r="I75" s="17"/>
      <c r="J75" s="17"/>
      <c r="K75" s="17"/>
      <c r="L75" s="18"/>
      <c r="M75" s="127" t="s">
        <v>173</v>
      </c>
      <c r="N75" s="124">
        <v>0</v>
      </c>
      <c r="O75" s="150">
        <f t="shared" si="12"/>
        <v>0</v>
      </c>
      <c r="P75" s="145">
        <f t="shared" si="7"/>
        <v>0</v>
      </c>
      <c r="Q75" s="146">
        <f t="shared" si="5"/>
        <v>0</v>
      </c>
    </row>
    <row r="76" spans="1:17" x14ac:dyDescent="0.25">
      <c r="A76" t="s">
        <v>54</v>
      </c>
      <c r="B76" s="116">
        <v>15</v>
      </c>
      <c r="C76" s="17"/>
      <c r="D76" s="17"/>
      <c r="E76" s="17"/>
      <c r="F76" s="17"/>
      <c r="G76" s="17"/>
      <c r="H76" s="17"/>
      <c r="I76" s="17"/>
      <c r="J76" s="17">
        <f>TRUNC(170*Q76*(1-L7)*(1-N76))</f>
        <v>0</v>
      </c>
      <c r="K76" s="17"/>
      <c r="L76" s="18"/>
      <c r="M76" s="127" t="s">
        <v>173</v>
      </c>
      <c r="N76" s="124">
        <v>0</v>
      </c>
      <c r="O76" s="150">
        <f t="shared" si="12"/>
        <v>0</v>
      </c>
      <c r="P76" s="145">
        <f t="shared" si="7"/>
        <v>0</v>
      </c>
      <c r="Q76" s="146">
        <f t="shared" si="5"/>
        <v>0</v>
      </c>
    </row>
    <row r="77" spans="1:17" x14ac:dyDescent="0.25">
      <c r="A77" t="s">
        <v>55</v>
      </c>
      <c r="B77" s="116">
        <v>15</v>
      </c>
      <c r="C77" s="17"/>
      <c r="D77" s="17"/>
      <c r="E77" s="17">
        <f>TRUNC(120*Q77*(1-L7)*(1-N77))</f>
        <v>0</v>
      </c>
      <c r="F77" s="17"/>
      <c r="G77" s="17"/>
      <c r="H77" s="17"/>
      <c r="I77" s="17"/>
      <c r="J77" s="17"/>
      <c r="K77" s="17">
        <f>TRUNC(50*Q77*(1-L7)*(1-N77))</f>
        <v>0</v>
      </c>
      <c r="L77" s="18"/>
      <c r="M77" s="127" t="s">
        <v>173</v>
      </c>
      <c r="N77" s="124">
        <v>0</v>
      </c>
      <c r="O77" s="150">
        <f t="shared" si="12"/>
        <v>0</v>
      </c>
      <c r="P77" s="145">
        <f t="shared" si="7"/>
        <v>0</v>
      </c>
      <c r="Q77" s="146">
        <f t="shared" si="5"/>
        <v>0</v>
      </c>
    </row>
    <row r="78" spans="1:17" x14ac:dyDescent="0.25">
      <c r="A78" t="s">
        <v>56</v>
      </c>
      <c r="B78" s="116">
        <v>15</v>
      </c>
      <c r="C78" s="17"/>
      <c r="D78" s="17"/>
      <c r="E78" s="17">
        <f>TRUNC(120*Q78*(1-L7)*(1-N78))</f>
        <v>0</v>
      </c>
      <c r="F78" s="17"/>
      <c r="G78" s="17"/>
      <c r="H78" s="17"/>
      <c r="I78" s="17">
        <f>TRUNC(50*Q78*(1-L7)*(1-N78))</f>
        <v>0</v>
      </c>
      <c r="J78" s="17"/>
      <c r="K78" s="17"/>
      <c r="L78" s="18"/>
      <c r="M78" s="127" t="s">
        <v>173</v>
      </c>
      <c r="N78" s="124">
        <v>0</v>
      </c>
      <c r="O78" s="150">
        <f t="shared" si="12"/>
        <v>0</v>
      </c>
      <c r="P78" s="145">
        <f t="shared" si="7"/>
        <v>0</v>
      </c>
      <c r="Q78" s="146">
        <f t="shared" si="5"/>
        <v>0</v>
      </c>
    </row>
    <row r="79" spans="1:17" ht="15.75" thickBot="1" x14ac:dyDescent="0.3">
      <c r="A79" t="s">
        <v>57</v>
      </c>
      <c r="B79" s="116">
        <v>15</v>
      </c>
      <c r="C79" s="17"/>
      <c r="D79" s="17"/>
      <c r="E79" s="17"/>
      <c r="F79" s="17">
        <f>TRUNC(30*Q79*(1-L7)*(1-N79))</f>
        <v>0</v>
      </c>
      <c r="G79" s="17">
        <f>TRUNC(40*Q79*(1-L7)*(1-N79))</f>
        <v>0</v>
      </c>
      <c r="H79" s="17"/>
      <c r="I79" s="17"/>
      <c r="J79" s="17"/>
      <c r="K79" s="17">
        <f>TRUNC(100*Q79*(1-L7)*(1-N79))</f>
        <v>0</v>
      </c>
      <c r="L79" s="18"/>
      <c r="M79" s="127" t="s">
        <v>173</v>
      </c>
      <c r="N79" s="124">
        <v>0</v>
      </c>
      <c r="O79" s="150">
        <f t="shared" si="12"/>
        <v>0</v>
      </c>
      <c r="P79" s="145">
        <f t="shared" si="7"/>
        <v>0</v>
      </c>
      <c r="Q79" s="146">
        <f t="shared" si="5"/>
        <v>0</v>
      </c>
    </row>
    <row r="80" spans="1:17" ht="15.75" thickBot="1" x14ac:dyDescent="0.3">
      <c r="A80" s="3" t="s">
        <v>59</v>
      </c>
      <c r="B80" s="117" t="s">
        <v>166</v>
      </c>
      <c r="C80" s="91" t="s">
        <v>8</v>
      </c>
      <c r="D80" s="92" t="s">
        <v>9</v>
      </c>
      <c r="E80" s="92" t="s">
        <v>10</v>
      </c>
      <c r="F80" s="92" t="s">
        <v>137</v>
      </c>
      <c r="G80" s="92" t="s">
        <v>11</v>
      </c>
      <c r="H80" s="92" t="s">
        <v>138</v>
      </c>
      <c r="I80" s="92" t="s">
        <v>139</v>
      </c>
      <c r="J80" s="92" t="s">
        <v>12</v>
      </c>
      <c r="K80" s="92" t="s">
        <v>13</v>
      </c>
      <c r="L80" s="93" t="s">
        <v>105</v>
      </c>
      <c r="M80" s="93"/>
      <c r="N80" s="93"/>
      <c r="O80" s="151"/>
      <c r="P80" s="147"/>
      <c r="Q80" s="148"/>
    </row>
    <row r="81" spans="1:17" x14ac:dyDescent="0.25">
      <c r="A81" t="s">
        <v>60</v>
      </c>
      <c r="B81" s="115">
        <v>15</v>
      </c>
      <c r="C81" s="15"/>
      <c r="D81" s="15"/>
      <c r="E81" s="15"/>
      <c r="F81" s="15">
        <f>TRUNC(40*Q81*(1-L7)*(1-N81))</f>
        <v>0</v>
      </c>
      <c r="G81" s="15"/>
      <c r="H81" s="15">
        <f>TRUNC(120*Q81*(1-L7)*(1-N81))</f>
        <v>0</v>
      </c>
      <c r="I81" s="15">
        <f>TRUNC(TRUNC(20*Q81*(1-L7)*(1-N81)))</f>
        <v>0</v>
      </c>
      <c r="J81" s="15"/>
      <c r="K81" s="15"/>
      <c r="L81" s="16">
        <f>TRUNC(20*Q81*(1-L7)*(1-N81))</f>
        <v>0</v>
      </c>
      <c r="M81" s="127" t="s">
        <v>173</v>
      </c>
      <c r="N81" s="124">
        <v>0</v>
      </c>
      <c r="O81" s="149">
        <f>IF(E$6="Marais Noir",60000*Q81*(1-L$7)*(1-N81),30000*Q81*(1-L$7)*(1-N81))</f>
        <v>0</v>
      </c>
      <c r="P81" s="145">
        <f t="shared" si="7"/>
        <v>0</v>
      </c>
      <c r="Q81" s="146">
        <f t="shared" si="5"/>
        <v>0</v>
      </c>
    </row>
    <row r="82" spans="1:17" x14ac:dyDescent="0.25">
      <c r="A82" t="s">
        <v>61</v>
      </c>
      <c r="B82" s="116">
        <v>15</v>
      </c>
      <c r="C82" s="17">
        <f>TRUNC(30*Q82*(1-L7)*(1-N82))</f>
        <v>0</v>
      </c>
      <c r="D82" s="17"/>
      <c r="E82" s="17"/>
      <c r="F82" s="17"/>
      <c r="G82" s="17"/>
      <c r="H82" s="17"/>
      <c r="I82" s="17"/>
      <c r="J82" s="17">
        <f>TRUNC(140*Q82*(1-L7)*(1-N82))</f>
        <v>0</v>
      </c>
      <c r="K82" s="17"/>
      <c r="L82" s="18"/>
      <c r="M82" s="127" t="s">
        <v>173</v>
      </c>
      <c r="N82" s="124">
        <v>0</v>
      </c>
      <c r="O82" s="150">
        <f t="shared" ref="O82:O88" si="13">30000*Q82*(1-L$7)*(1-N82)</f>
        <v>0</v>
      </c>
      <c r="P82" s="145">
        <f t="shared" si="7"/>
        <v>0</v>
      </c>
      <c r="Q82" s="146">
        <f t="shared" si="5"/>
        <v>0</v>
      </c>
    </row>
    <row r="83" spans="1:17" x14ac:dyDescent="0.25">
      <c r="A83" t="s">
        <v>62</v>
      </c>
      <c r="B83" s="116">
        <v>15</v>
      </c>
      <c r="C83" s="17"/>
      <c r="D83" s="17"/>
      <c r="E83" s="17"/>
      <c r="F83" s="17">
        <f>TRUNC(170*Q83*(1-L7)*(1-N83))</f>
        <v>0</v>
      </c>
      <c r="G83" s="17"/>
      <c r="H83" s="17"/>
      <c r="I83" s="17"/>
      <c r="J83" s="17"/>
      <c r="K83" s="17"/>
      <c r="L83" s="18"/>
      <c r="M83" s="127" t="s">
        <v>173</v>
      </c>
      <c r="N83" s="124">
        <v>0</v>
      </c>
      <c r="O83" s="150">
        <f t="shared" si="13"/>
        <v>0</v>
      </c>
      <c r="P83" s="145">
        <f t="shared" si="7"/>
        <v>0</v>
      </c>
      <c r="Q83" s="146">
        <f t="shared" si="5"/>
        <v>0</v>
      </c>
    </row>
    <row r="84" spans="1:17" x14ac:dyDescent="0.25">
      <c r="A84" t="s">
        <v>63</v>
      </c>
      <c r="B84" s="116">
        <v>15</v>
      </c>
      <c r="C84" s="17"/>
      <c r="D84" s="17">
        <f>TRUNC(50*Q84*(1-L7)*(1-N84))</f>
        <v>0</v>
      </c>
      <c r="E84" s="17"/>
      <c r="F84" s="17">
        <f>TRUNC(100*Q84*(1-L7)*(1-N84))</f>
        <v>0</v>
      </c>
      <c r="G84" s="17"/>
      <c r="H84" s="17">
        <f>TRUNC(20*Q84*(1-L7)*(1-N84))</f>
        <v>0</v>
      </c>
      <c r="I84" s="17"/>
      <c r="J84" s="17"/>
      <c r="K84" s="17"/>
      <c r="L84" s="18"/>
      <c r="M84" s="127" t="s">
        <v>173</v>
      </c>
      <c r="N84" s="124">
        <v>0</v>
      </c>
      <c r="O84" s="150">
        <f t="shared" si="13"/>
        <v>0</v>
      </c>
      <c r="P84" s="145">
        <f t="shared" si="7"/>
        <v>0</v>
      </c>
      <c r="Q84" s="146">
        <f t="shared" si="5"/>
        <v>0</v>
      </c>
    </row>
    <row r="85" spans="1:17" x14ac:dyDescent="0.25">
      <c r="A85" t="s">
        <v>64</v>
      </c>
      <c r="B85" s="116">
        <v>15</v>
      </c>
      <c r="C85" s="17"/>
      <c r="D85" s="17"/>
      <c r="E85" s="17"/>
      <c r="F85" s="17">
        <f>TRUNC(40*Q85*(1-L7)*(1-N85))</f>
        <v>0</v>
      </c>
      <c r="G85" s="17"/>
      <c r="H85" s="17"/>
      <c r="I85" s="17"/>
      <c r="J85" s="17"/>
      <c r="K85" s="17"/>
      <c r="L85" s="18">
        <f>TRUNC(130*Q85*(1-L7)*(1-N85))</f>
        <v>0</v>
      </c>
      <c r="M85" s="127" t="s">
        <v>173</v>
      </c>
      <c r="N85" s="124">
        <v>0</v>
      </c>
      <c r="O85" s="150">
        <f t="shared" si="13"/>
        <v>0</v>
      </c>
      <c r="P85" s="145">
        <f t="shared" si="7"/>
        <v>0</v>
      </c>
      <c r="Q85" s="146">
        <f t="shared" si="5"/>
        <v>0</v>
      </c>
    </row>
    <row r="86" spans="1:17" x14ac:dyDescent="0.25">
      <c r="A86" t="s">
        <v>65</v>
      </c>
      <c r="B86" s="116">
        <v>15</v>
      </c>
      <c r="C86" s="17"/>
      <c r="D86" s="17"/>
      <c r="E86" s="17"/>
      <c r="F86" s="17"/>
      <c r="G86" s="17"/>
      <c r="H86" s="17">
        <f>TRUNC(170*Q86*(1-L7)*(1-N86))</f>
        <v>0</v>
      </c>
      <c r="I86" s="17"/>
      <c r="J86" s="17"/>
      <c r="K86" s="17"/>
      <c r="L86" s="18"/>
      <c r="M86" s="127" t="s">
        <v>173</v>
      </c>
      <c r="N86" s="124">
        <v>0</v>
      </c>
      <c r="O86" s="150">
        <f t="shared" si="13"/>
        <v>0</v>
      </c>
      <c r="P86" s="145">
        <f t="shared" si="7"/>
        <v>0</v>
      </c>
      <c r="Q86" s="146">
        <f t="shared" si="5"/>
        <v>0</v>
      </c>
    </row>
    <row r="87" spans="1:17" x14ac:dyDescent="0.25">
      <c r="A87" t="s">
        <v>66</v>
      </c>
      <c r="B87" s="116">
        <v>15</v>
      </c>
      <c r="C87" s="17"/>
      <c r="D87" s="17"/>
      <c r="E87" s="17"/>
      <c r="F87" s="17"/>
      <c r="G87" s="17"/>
      <c r="H87" s="17">
        <f>TRUNC(40*Q87*(1-L7)*(1-N87))</f>
        <v>0</v>
      </c>
      <c r="I87" s="17">
        <f>TRUNC(130*Q87*(1-L7)*(1-N87))</f>
        <v>0</v>
      </c>
      <c r="J87" s="17"/>
      <c r="K87" s="17"/>
      <c r="L87" s="18"/>
      <c r="M87" s="127" t="s">
        <v>173</v>
      </c>
      <c r="N87" s="124">
        <v>0</v>
      </c>
      <c r="O87" s="150">
        <f t="shared" si="13"/>
        <v>0</v>
      </c>
      <c r="P87" s="145">
        <f t="shared" si="7"/>
        <v>0</v>
      </c>
      <c r="Q87" s="146">
        <f t="shared" si="5"/>
        <v>0</v>
      </c>
    </row>
    <row r="88" spans="1:17" ht="15.75" thickBot="1" x14ac:dyDescent="0.3">
      <c r="A88" t="s">
        <v>67</v>
      </c>
      <c r="B88" s="116">
        <v>15</v>
      </c>
      <c r="C88" s="17"/>
      <c r="D88" s="17"/>
      <c r="E88" s="17"/>
      <c r="F88" s="17"/>
      <c r="G88" s="17"/>
      <c r="H88" s="17">
        <f>TRUNC(100*Q88*(1-L7)*(1-N88))</f>
        <v>0</v>
      </c>
      <c r="I88" s="17">
        <f>TRUNC(70*Q88*(1-L7)*(1-N88))</f>
        <v>0</v>
      </c>
      <c r="J88" s="17"/>
      <c r="K88" s="17"/>
      <c r="L88" s="18"/>
      <c r="M88" s="127" t="s">
        <v>173</v>
      </c>
      <c r="N88" s="124">
        <v>0</v>
      </c>
      <c r="O88" s="150">
        <f t="shared" si="13"/>
        <v>0</v>
      </c>
      <c r="P88" s="145">
        <f t="shared" si="7"/>
        <v>0</v>
      </c>
      <c r="Q88" s="146">
        <f t="shared" si="5"/>
        <v>0</v>
      </c>
    </row>
    <row r="89" spans="1:17" ht="15.75" thickBot="1" x14ac:dyDescent="0.3">
      <c r="A89" s="3" t="s">
        <v>68</v>
      </c>
      <c r="B89" s="117" t="s">
        <v>166</v>
      </c>
      <c r="C89" s="91" t="s">
        <v>8</v>
      </c>
      <c r="D89" s="92" t="s">
        <v>9</v>
      </c>
      <c r="E89" s="92" t="s">
        <v>10</v>
      </c>
      <c r="F89" s="92" t="s">
        <v>137</v>
      </c>
      <c r="G89" s="92" t="s">
        <v>11</v>
      </c>
      <c r="H89" s="92" t="s">
        <v>138</v>
      </c>
      <c r="I89" s="92" t="s">
        <v>139</v>
      </c>
      <c r="J89" s="92" t="s">
        <v>12</v>
      </c>
      <c r="K89" s="92" t="s">
        <v>13</v>
      </c>
      <c r="L89" s="93" t="s">
        <v>105</v>
      </c>
      <c r="M89" s="93"/>
      <c r="N89" s="93"/>
      <c r="O89" s="151"/>
      <c r="P89" s="147"/>
      <c r="Q89" s="148"/>
    </row>
    <row r="90" spans="1:17" x14ac:dyDescent="0.25">
      <c r="A90" t="s">
        <v>69</v>
      </c>
      <c r="B90" s="115">
        <v>15</v>
      </c>
      <c r="C90" s="15"/>
      <c r="D90" s="15"/>
      <c r="E90" s="15">
        <f>TRUNC(20*Q90*(1-L7)*(1-N90))</f>
        <v>0</v>
      </c>
      <c r="F90" s="15"/>
      <c r="G90" s="15">
        <f>TRUNC(20*Q90*(1-L7)*(1-N90))</f>
        <v>0</v>
      </c>
      <c r="H90" s="15">
        <f>TRUNC(90*Q90*(1-L7)*(1-N90))</f>
        <v>0</v>
      </c>
      <c r="I90" s="15"/>
      <c r="J90" s="15">
        <f>TRUNC(20*Q90*(1-L7)*(1-N90))</f>
        <v>0</v>
      </c>
      <c r="K90" s="15"/>
      <c r="L90" s="16">
        <f>TRUNC(60*Q90*(1-L7)*(1-N90))</f>
        <v>0</v>
      </c>
      <c r="M90" s="127" t="s">
        <v>173</v>
      </c>
      <c r="N90" s="124">
        <v>0</v>
      </c>
      <c r="O90" s="149">
        <f>IF(E$6="Morrowind",60000*Q90*(1-L$7)*(1-N90),30000*Q90*(1-L$7)*(1-N90))</f>
        <v>0</v>
      </c>
      <c r="P90" s="145">
        <f t="shared" si="7"/>
        <v>0</v>
      </c>
      <c r="Q90" s="146">
        <f t="shared" si="5"/>
        <v>0</v>
      </c>
    </row>
    <row r="91" spans="1:17" x14ac:dyDescent="0.25">
      <c r="A91" t="s">
        <v>70</v>
      </c>
      <c r="B91" s="116">
        <v>15</v>
      </c>
      <c r="C91" s="17"/>
      <c r="D91" s="17"/>
      <c r="E91" s="17"/>
      <c r="F91" s="17"/>
      <c r="G91" s="17">
        <f>TRUNC(170*Q91*(1-L7)*(1-N91))</f>
        <v>0</v>
      </c>
      <c r="H91" s="17"/>
      <c r="I91" s="17"/>
      <c r="J91" s="17"/>
      <c r="K91" s="17"/>
      <c r="L91" s="18"/>
      <c r="M91" s="127" t="s">
        <v>173</v>
      </c>
      <c r="N91" s="124">
        <v>0</v>
      </c>
      <c r="O91" s="150">
        <f t="shared" ref="O91:O97" si="14">30000*Q91*(1-L$7)*(1-N91)</f>
        <v>0</v>
      </c>
      <c r="P91" s="145">
        <f t="shared" si="7"/>
        <v>0</v>
      </c>
      <c r="Q91" s="146">
        <f t="shared" si="5"/>
        <v>0</v>
      </c>
    </row>
    <row r="92" spans="1:17" x14ac:dyDescent="0.25">
      <c r="A92" t="s">
        <v>71</v>
      </c>
      <c r="B92" s="116">
        <v>15</v>
      </c>
      <c r="C92" s="17">
        <f>TRUNC(70*Q92*(1-L7)*(1-N92))</f>
        <v>0</v>
      </c>
      <c r="D92" s="17"/>
      <c r="E92" s="17"/>
      <c r="F92" s="17"/>
      <c r="G92" s="17"/>
      <c r="H92" s="17"/>
      <c r="I92" s="17"/>
      <c r="J92" s="17"/>
      <c r="K92" s="17"/>
      <c r="L92" s="18">
        <f>TRUNC(100*Q92*(1-L7)*(1-N92))</f>
        <v>0</v>
      </c>
      <c r="M92" s="127" t="s">
        <v>173</v>
      </c>
      <c r="N92" s="124">
        <v>0</v>
      </c>
      <c r="O92" s="150">
        <f t="shared" si="14"/>
        <v>0</v>
      </c>
      <c r="P92" s="145">
        <f t="shared" si="7"/>
        <v>0</v>
      </c>
      <c r="Q92" s="146">
        <f t="shared" ref="Q92:Q111" si="15">IF(M92="Possédée",1,IF(M92="Assiégée",0.5,0))</f>
        <v>0</v>
      </c>
    </row>
    <row r="93" spans="1:17" x14ac:dyDescent="0.25">
      <c r="A93" t="s">
        <v>72</v>
      </c>
      <c r="B93" s="116">
        <v>15</v>
      </c>
      <c r="C93" s="17"/>
      <c r="D93" s="17"/>
      <c r="E93" s="17">
        <f>TRUNC(60*Q93*(1-L7)*(1-N93))</f>
        <v>0</v>
      </c>
      <c r="F93" s="17"/>
      <c r="G93" s="17"/>
      <c r="H93" s="17"/>
      <c r="I93" s="17"/>
      <c r="J93" s="17"/>
      <c r="K93" s="17">
        <f>TRUNC(110*Q93*(1-L7)*(1-N93))</f>
        <v>0</v>
      </c>
      <c r="L93" s="18"/>
      <c r="M93" s="127" t="s">
        <v>173</v>
      </c>
      <c r="N93" s="124">
        <v>0</v>
      </c>
      <c r="O93" s="150">
        <f t="shared" si="14"/>
        <v>0</v>
      </c>
      <c r="P93" s="145">
        <f t="shared" ref="P93:P118" si="16">IF(OR(M93="Possédée",M93="Assiégée"),B93,0)</f>
        <v>0</v>
      </c>
      <c r="Q93" s="146">
        <f t="shared" si="15"/>
        <v>0</v>
      </c>
    </row>
    <row r="94" spans="1:17" x14ac:dyDescent="0.25">
      <c r="A94" t="s">
        <v>73</v>
      </c>
      <c r="B94" s="116">
        <v>15</v>
      </c>
      <c r="C94" s="17"/>
      <c r="D94" s="17"/>
      <c r="E94" s="17"/>
      <c r="F94" s="17"/>
      <c r="G94" s="17">
        <f>TRUNC(100*Q94*(1-L7)*(1-N94))</f>
        <v>0</v>
      </c>
      <c r="H94" s="17">
        <f>TRUNC(50*Q94*(1-L7)*(1-N94))</f>
        <v>0</v>
      </c>
      <c r="I94" s="17"/>
      <c r="J94" s="17"/>
      <c r="K94" s="17"/>
      <c r="L94" s="18">
        <f>TRUNC(20*Q94*(1-L7)*(1-N94))</f>
        <v>0</v>
      </c>
      <c r="M94" s="127" t="s">
        <v>173</v>
      </c>
      <c r="N94" s="124">
        <v>0</v>
      </c>
      <c r="O94" s="150">
        <f t="shared" si="14"/>
        <v>0</v>
      </c>
      <c r="P94" s="145">
        <f t="shared" si="16"/>
        <v>0</v>
      </c>
      <c r="Q94" s="146">
        <f t="shared" si="15"/>
        <v>0</v>
      </c>
    </row>
    <row r="95" spans="1:17" x14ac:dyDescent="0.25">
      <c r="A95" t="s">
        <v>74</v>
      </c>
      <c r="B95" s="116">
        <v>15</v>
      </c>
      <c r="C95" s="17"/>
      <c r="D95" s="17"/>
      <c r="E95" s="17">
        <f>TRUNC(100*Q95*(1-L7)*(1-N95))</f>
        <v>0</v>
      </c>
      <c r="F95" s="17"/>
      <c r="G95" s="17">
        <f>TRUNC(70*Q95*(1-L7)*(1-N95))</f>
        <v>0</v>
      </c>
      <c r="H95" s="17"/>
      <c r="I95" s="17"/>
      <c r="J95" s="17"/>
      <c r="K95" s="17"/>
      <c r="L95" s="18"/>
      <c r="M95" s="127" t="s">
        <v>173</v>
      </c>
      <c r="N95" s="124">
        <v>0</v>
      </c>
      <c r="O95" s="150">
        <f t="shared" si="14"/>
        <v>0</v>
      </c>
      <c r="P95" s="145">
        <f t="shared" si="16"/>
        <v>0</v>
      </c>
      <c r="Q95" s="146">
        <f t="shared" si="15"/>
        <v>0</v>
      </c>
    </row>
    <row r="96" spans="1:17" x14ac:dyDescent="0.25">
      <c r="A96" t="s">
        <v>75</v>
      </c>
      <c r="B96" s="116">
        <v>15</v>
      </c>
      <c r="C96" s="17"/>
      <c r="D96" s="17"/>
      <c r="E96" s="17">
        <f>TRUNC(120*Q96*(1-L7)*(1-N96))</f>
        <v>0</v>
      </c>
      <c r="F96" s="17"/>
      <c r="G96" s="17"/>
      <c r="H96" s="17"/>
      <c r="I96" s="17"/>
      <c r="J96" s="17"/>
      <c r="K96" s="17">
        <f>TRUNC(50*Q96*(1-L7)*(1-N96))</f>
        <v>0</v>
      </c>
      <c r="L96" s="18"/>
      <c r="M96" s="127" t="s">
        <v>173</v>
      </c>
      <c r="N96" s="124">
        <v>0</v>
      </c>
      <c r="O96" s="150">
        <f t="shared" si="14"/>
        <v>0</v>
      </c>
      <c r="P96" s="145">
        <f t="shared" si="16"/>
        <v>0</v>
      </c>
      <c r="Q96" s="146">
        <f t="shared" si="15"/>
        <v>0</v>
      </c>
    </row>
    <row r="97" spans="1:17" ht="15.75" thickBot="1" x14ac:dyDescent="0.3">
      <c r="A97" t="s">
        <v>76</v>
      </c>
      <c r="B97" s="116">
        <v>15</v>
      </c>
      <c r="C97" s="17"/>
      <c r="D97" s="17"/>
      <c r="E97" s="17">
        <f>TRUNC(170*Q97*(1-L7)*(1-N97))</f>
        <v>0</v>
      </c>
      <c r="F97" s="17"/>
      <c r="G97" s="17"/>
      <c r="H97" s="17"/>
      <c r="I97" s="17"/>
      <c r="J97" s="17"/>
      <c r="K97" s="17"/>
      <c r="L97" s="18"/>
      <c r="M97" s="127" t="s">
        <v>173</v>
      </c>
      <c r="N97" s="124">
        <v>0</v>
      </c>
      <c r="O97" s="150">
        <f t="shared" si="14"/>
        <v>0</v>
      </c>
      <c r="P97" s="145">
        <f t="shared" si="16"/>
        <v>0</v>
      </c>
      <c r="Q97" s="146">
        <f t="shared" si="15"/>
        <v>0</v>
      </c>
    </row>
    <row r="98" spans="1:17" ht="15.75" thickBot="1" x14ac:dyDescent="0.3">
      <c r="A98" s="3" t="s">
        <v>77</v>
      </c>
      <c r="B98" s="117" t="s">
        <v>166</v>
      </c>
      <c r="C98" s="91" t="s">
        <v>8</v>
      </c>
      <c r="D98" s="92" t="s">
        <v>9</v>
      </c>
      <c r="E98" s="92" t="s">
        <v>10</v>
      </c>
      <c r="F98" s="92" t="s">
        <v>137</v>
      </c>
      <c r="G98" s="92" t="s">
        <v>11</v>
      </c>
      <c r="H98" s="92" t="s">
        <v>138</v>
      </c>
      <c r="I98" s="92" t="s">
        <v>139</v>
      </c>
      <c r="J98" s="92" t="s">
        <v>12</v>
      </c>
      <c r="K98" s="92" t="s">
        <v>13</v>
      </c>
      <c r="L98" s="93" t="s">
        <v>105</v>
      </c>
      <c r="M98" s="93"/>
      <c r="N98" s="93"/>
      <c r="O98" s="151"/>
      <c r="P98" s="147"/>
      <c r="Q98" s="148"/>
    </row>
    <row r="99" spans="1:17" x14ac:dyDescent="0.25">
      <c r="A99" t="s">
        <v>78</v>
      </c>
      <c r="B99" s="115">
        <v>15</v>
      </c>
      <c r="C99" s="15"/>
      <c r="D99" s="15"/>
      <c r="E99" s="15"/>
      <c r="F99" s="15"/>
      <c r="G99" s="15">
        <f>TRUNC(30*Q99*(1-L7)*(1-N99))</f>
        <v>30</v>
      </c>
      <c r="H99" s="15">
        <f>TRUNC(40*Q99*(1-L7)*(1-N99))</f>
        <v>40</v>
      </c>
      <c r="I99" s="15">
        <f>TRUNC(140*Q99*(1-L7)*(1-N99))</f>
        <v>140</v>
      </c>
      <c r="J99" s="15"/>
      <c r="K99" s="15"/>
      <c r="L99" s="16"/>
      <c r="M99" s="127" t="s">
        <v>174</v>
      </c>
      <c r="N99" s="124">
        <v>0</v>
      </c>
      <c r="O99" s="149">
        <f>IF(E$6="Val-Boisé",60000*Q99*(1-L$7)*(1-N99),30000*Q99*(1-L$7)*(1-N99))</f>
        <v>60000</v>
      </c>
      <c r="P99" s="145">
        <f t="shared" si="16"/>
        <v>15</v>
      </c>
      <c r="Q99" s="146">
        <f t="shared" si="15"/>
        <v>1</v>
      </c>
    </row>
    <row r="100" spans="1:17" x14ac:dyDescent="0.25">
      <c r="A100" t="s">
        <v>79</v>
      </c>
      <c r="B100" s="116">
        <v>15</v>
      </c>
      <c r="C100" s="17"/>
      <c r="D100" s="17"/>
      <c r="E100" s="17"/>
      <c r="F100" s="17"/>
      <c r="G100" s="17"/>
      <c r="H100" s="17"/>
      <c r="I100" s="17">
        <f>TRUNC(50*Q100*(1-L7)*(1-N100))</f>
        <v>50</v>
      </c>
      <c r="J100" s="17">
        <f>TRUNC(120*Q100*(1-L7)*(1-N100))</f>
        <v>120</v>
      </c>
      <c r="K100" s="17"/>
      <c r="L100" s="18"/>
      <c r="M100" s="127" t="s">
        <v>174</v>
      </c>
      <c r="N100" s="124">
        <v>0</v>
      </c>
      <c r="O100" s="150">
        <f t="shared" ref="O100:O106" si="17">30000*Q100*(1-L$7)*(1-N100)</f>
        <v>30000</v>
      </c>
      <c r="P100" s="145">
        <f t="shared" si="16"/>
        <v>15</v>
      </c>
      <c r="Q100" s="146">
        <f t="shared" si="15"/>
        <v>1</v>
      </c>
    </row>
    <row r="101" spans="1:17" x14ac:dyDescent="0.25">
      <c r="A101" t="s">
        <v>80</v>
      </c>
      <c r="B101" s="116">
        <v>15</v>
      </c>
      <c r="C101" s="17"/>
      <c r="D101" s="17"/>
      <c r="E101" s="17"/>
      <c r="F101" s="17">
        <f>TRUNC(70*Q101*(1-L7)*(1-N101))</f>
        <v>70</v>
      </c>
      <c r="G101" s="17">
        <f>TRUNC(40*Q101*(1-L7)*(1-N101))</f>
        <v>40</v>
      </c>
      <c r="H101" s="17"/>
      <c r="I101" s="17"/>
      <c r="J101" s="17"/>
      <c r="K101" s="17">
        <f>TRUNC(20*Q101*(1-L7)*(1-N101))</f>
        <v>20</v>
      </c>
      <c r="L101" s="18">
        <f>TRUNC(40*Q101*(1-L7)*(1-N101))</f>
        <v>40</v>
      </c>
      <c r="M101" s="127" t="s">
        <v>174</v>
      </c>
      <c r="N101" s="124">
        <v>0</v>
      </c>
      <c r="O101" s="150">
        <f t="shared" si="17"/>
        <v>30000</v>
      </c>
      <c r="P101" s="145">
        <f t="shared" si="16"/>
        <v>15</v>
      </c>
      <c r="Q101" s="146">
        <f t="shared" si="15"/>
        <v>1</v>
      </c>
    </row>
    <row r="102" spans="1:17" x14ac:dyDescent="0.25">
      <c r="A102" t="s">
        <v>81</v>
      </c>
      <c r="B102" s="116">
        <v>15</v>
      </c>
      <c r="C102" s="17"/>
      <c r="D102" s="17"/>
      <c r="E102" s="17"/>
      <c r="F102" s="17"/>
      <c r="G102" s="17"/>
      <c r="H102" s="17"/>
      <c r="I102" s="17">
        <f>TRUNC(170*Q102*(1-L7)*(1-N102))</f>
        <v>170</v>
      </c>
      <c r="J102" s="17"/>
      <c r="K102" s="17"/>
      <c r="L102" s="18"/>
      <c r="M102" s="127" t="s">
        <v>174</v>
      </c>
      <c r="N102" s="124">
        <v>0</v>
      </c>
      <c r="O102" s="150">
        <f t="shared" si="17"/>
        <v>30000</v>
      </c>
      <c r="P102" s="145">
        <f t="shared" si="16"/>
        <v>15</v>
      </c>
      <c r="Q102" s="146">
        <f t="shared" si="15"/>
        <v>1</v>
      </c>
    </row>
    <row r="103" spans="1:17" x14ac:dyDescent="0.25">
      <c r="A103" t="s">
        <v>82</v>
      </c>
      <c r="B103" s="116">
        <v>15</v>
      </c>
      <c r="C103" s="17">
        <f>TRUNC(100*Q103*(1-L7)*(1-N103))</f>
        <v>100</v>
      </c>
      <c r="D103" s="17"/>
      <c r="E103" s="17"/>
      <c r="F103" s="17"/>
      <c r="G103" s="17"/>
      <c r="H103" s="17"/>
      <c r="I103" s="17"/>
      <c r="J103" s="17">
        <f>TRUNC(70*Q103*(1-L7)*(1-N103))</f>
        <v>70</v>
      </c>
      <c r="K103" s="17"/>
      <c r="L103" s="18"/>
      <c r="M103" s="127" t="s">
        <v>174</v>
      </c>
      <c r="N103" s="124">
        <v>0</v>
      </c>
      <c r="O103" s="150">
        <f t="shared" si="17"/>
        <v>30000</v>
      </c>
      <c r="P103" s="145">
        <f t="shared" si="16"/>
        <v>15</v>
      </c>
      <c r="Q103" s="146">
        <f t="shared" si="15"/>
        <v>1</v>
      </c>
    </row>
    <row r="104" spans="1:17" x14ac:dyDescent="0.25">
      <c r="A104" t="s">
        <v>83</v>
      </c>
      <c r="B104" s="116">
        <v>15</v>
      </c>
      <c r="C104" s="17">
        <f>TRUNC(170*Q104*(1-L7)*(1-N104))</f>
        <v>170</v>
      </c>
      <c r="D104" s="17"/>
      <c r="E104" s="17"/>
      <c r="F104" s="17"/>
      <c r="G104" s="17"/>
      <c r="H104" s="17"/>
      <c r="I104" s="17"/>
      <c r="J104" s="17"/>
      <c r="K104" s="17"/>
      <c r="L104" s="18"/>
      <c r="M104" s="127" t="s">
        <v>174</v>
      </c>
      <c r="N104" s="124">
        <v>0</v>
      </c>
      <c r="O104" s="150">
        <f t="shared" si="17"/>
        <v>30000</v>
      </c>
      <c r="P104" s="145">
        <f t="shared" si="16"/>
        <v>15</v>
      </c>
      <c r="Q104" s="146">
        <f t="shared" si="15"/>
        <v>1</v>
      </c>
    </row>
    <row r="105" spans="1:17" x14ac:dyDescent="0.25">
      <c r="A105" t="s">
        <v>84</v>
      </c>
      <c r="B105" s="116">
        <v>15</v>
      </c>
      <c r="C105" s="17"/>
      <c r="D105" s="17"/>
      <c r="E105" s="17"/>
      <c r="F105" s="17"/>
      <c r="G105" s="17"/>
      <c r="H105" s="17">
        <f>TRUNC(170*Q105*(1-L7)*(1-N105))</f>
        <v>170</v>
      </c>
      <c r="I105" s="17"/>
      <c r="J105" s="17"/>
      <c r="K105" s="17"/>
      <c r="L105" s="18"/>
      <c r="M105" s="127" t="s">
        <v>174</v>
      </c>
      <c r="N105" s="124">
        <v>0</v>
      </c>
      <c r="O105" s="150">
        <f t="shared" si="17"/>
        <v>30000</v>
      </c>
      <c r="P105" s="145">
        <f t="shared" si="16"/>
        <v>15</v>
      </c>
      <c r="Q105" s="146">
        <f t="shared" si="15"/>
        <v>1</v>
      </c>
    </row>
    <row r="106" spans="1:17" ht="15.75" thickBot="1" x14ac:dyDescent="0.3">
      <c r="A106" t="s">
        <v>85</v>
      </c>
      <c r="B106" s="116">
        <v>15</v>
      </c>
      <c r="C106" s="17">
        <f>TRUNC(60*Q106*(1-L7)*(1-N106))</f>
        <v>60</v>
      </c>
      <c r="D106" s="17"/>
      <c r="E106" s="17"/>
      <c r="F106" s="17"/>
      <c r="G106" s="17"/>
      <c r="H106" s="17"/>
      <c r="I106" s="17">
        <f>TRUNC(110*Q106*(1-L7)*(1-N106))</f>
        <v>110</v>
      </c>
      <c r="J106" s="17"/>
      <c r="K106" s="17"/>
      <c r="L106" s="18"/>
      <c r="M106" s="127" t="s">
        <v>174</v>
      </c>
      <c r="N106" s="124">
        <v>0</v>
      </c>
      <c r="O106" s="150">
        <f t="shared" si="17"/>
        <v>30000</v>
      </c>
      <c r="P106" s="145">
        <f t="shared" si="16"/>
        <v>15</v>
      </c>
      <c r="Q106" s="146">
        <f t="shared" si="15"/>
        <v>1</v>
      </c>
    </row>
    <row r="107" spans="1:17" ht="15.75" thickBot="1" x14ac:dyDescent="0.3">
      <c r="A107" s="3" t="s">
        <v>86</v>
      </c>
      <c r="B107" s="117" t="s">
        <v>166</v>
      </c>
      <c r="C107" s="91" t="s">
        <v>8</v>
      </c>
      <c r="D107" s="92" t="s">
        <v>9</v>
      </c>
      <c r="E107" s="92" t="s">
        <v>10</v>
      </c>
      <c r="F107" s="92" t="s">
        <v>137</v>
      </c>
      <c r="G107" s="92" t="s">
        <v>11</v>
      </c>
      <c r="H107" s="92" t="s">
        <v>138</v>
      </c>
      <c r="I107" s="92" t="s">
        <v>139</v>
      </c>
      <c r="J107" s="92" t="s">
        <v>12</v>
      </c>
      <c r="K107" s="92" t="s">
        <v>13</v>
      </c>
      <c r="L107" s="93" t="s">
        <v>105</v>
      </c>
      <c r="M107" s="93"/>
      <c r="N107" s="93"/>
      <c r="O107" s="151"/>
      <c r="P107" s="147"/>
      <c r="Q107" s="148"/>
    </row>
    <row r="108" spans="1:17" x14ac:dyDescent="0.25">
      <c r="A108" t="s">
        <v>89</v>
      </c>
      <c r="B108" s="115">
        <v>15</v>
      </c>
      <c r="C108" s="15"/>
      <c r="D108" s="15"/>
      <c r="E108" s="15">
        <f>TRUNC(90*Q108*(1-L7)*(1-N108))</f>
        <v>0</v>
      </c>
      <c r="F108" s="15"/>
      <c r="G108" s="15"/>
      <c r="H108" s="15"/>
      <c r="I108" s="15"/>
      <c r="J108" s="15"/>
      <c r="K108" s="15">
        <f>TRUNC(120*Q108*(1-L7)*(1-N108))</f>
        <v>0</v>
      </c>
      <c r="L108" s="16"/>
      <c r="M108" s="127" t="s">
        <v>173</v>
      </c>
      <c r="N108" s="124">
        <v>0</v>
      </c>
      <c r="O108" s="149">
        <f>IF(E$6="Solstheim",60000*Q108*(1-L$7)*(1-N108),30000*Q108*(1-L$7)*(1-N108))</f>
        <v>0</v>
      </c>
      <c r="P108" s="145">
        <f t="shared" si="16"/>
        <v>0</v>
      </c>
      <c r="Q108" s="146">
        <f t="shared" si="15"/>
        <v>0</v>
      </c>
    </row>
    <row r="109" spans="1:17" x14ac:dyDescent="0.25">
      <c r="A109" t="s">
        <v>88</v>
      </c>
      <c r="B109" s="116">
        <v>15</v>
      </c>
      <c r="C109" s="17"/>
      <c r="D109" s="17"/>
      <c r="E109" s="17">
        <f>TRUNC(80*Q109*(1-L7)*(1-N109))</f>
        <v>0</v>
      </c>
      <c r="F109" s="17"/>
      <c r="G109" s="17">
        <f>TRUNC(20*Q109*(1-L7)*(1-N109))</f>
        <v>0</v>
      </c>
      <c r="H109" s="17"/>
      <c r="I109" s="17"/>
      <c r="J109" s="17"/>
      <c r="K109" s="17">
        <f>TRUNC(70*Q109*(1-L7)*(1-N109))</f>
        <v>0</v>
      </c>
      <c r="L109" s="18"/>
      <c r="M109" s="127" t="s">
        <v>173</v>
      </c>
      <c r="N109" s="124">
        <v>0</v>
      </c>
      <c r="O109" s="150">
        <f t="shared" ref="O109:O110" si="18">30000*Q109*(1-L$7)*(1-N109)</f>
        <v>0</v>
      </c>
      <c r="P109" s="145">
        <f t="shared" si="16"/>
        <v>0</v>
      </c>
      <c r="Q109" s="146">
        <f t="shared" si="15"/>
        <v>0</v>
      </c>
    </row>
    <row r="110" spans="1:17" ht="15.75" thickBot="1" x14ac:dyDescent="0.3">
      <c r="A110" s="39" t="s">
        <v>87</v>
      </c>
      <c r="B110" s="116">
        <v>15</v>
      </c>
      <c r="C110" s="19"/>
      <c r="D110" s="17">
        <f>TRUNC(90*Q110*(1-L7)*(1-N110))</f>
        <v>0</v>
      </c>
      <c r="E110" s="17"/>
      <c r="F110" s="17"/>
      <c r="G110" s="17">
        <f>TRUNC(30*Q110*(1-L7)*(1-N110))</f>
        <v>0</v>
      </c>
      <c r="H110" s="17"/>
      <c r="I110" s="17"/>
      <c r="J110" s="17"/>
      <c r="K110" s="17">
        <f>TRUNC(50*Q110*(1-L7)*(1-N110))</f>
        <v>0</v>
      </c>
      <c r="L110" s="18"/>
      <c r="M110" s="127" t="s">
        <v>173</v>
      </c>
      <c r="N110" s="124">
        <v>0</v>
      </c>
      <c r="O110" s="150">
        <f t="shared" si="18"/>
        <v>0</v>
      </c>
      <c r="P110" s="145">
        <f t="shared" si="16"/>
        <v>0</v>
      </c>
      <c r="Q110" s="146">
        <f t="shared" si="15"/>
        <v>0</v>
      </c>
    </row>
    <row r="111" spans="1:17" ht="15.75" thickBot="1" x14ac:dyDescent="0.3">
      <c r="A111" s="3" t="s">
        <v>140</v>
      </c>
      <c r="B111" s="119">
        <v>15</v>
      </c>
      <c r="C111" s="113"/>
      <c r="D111" s="89"/>
      <c r="E111" s="89">
        <f>TRUNC(70*Q111*(1-L7)*(1-N111))</f>
        <v>0</v>
      </c>
      <c r="F111" s="89"/>
      <c r="G111" s="89">
        <f>TRUNC(40*Q111*(1-L7)*(1-N111))</f>
        <v>0</v>
      </c>
      <c r="H111" s="89"/>
      <c r="I111" s="89"/>
      <c r="J111" s="89"/>
      <c r="K111" s="89">
        <f>TRUNC(100*Q111*(1-L7)*(1-N111))</f>
        <v>0</v>
      </c>
      <c r="L111" s="90"/>
      <c r="M111" s="127" t="s">
        <v>173</v>
      </c>
      <c r="N111" s="124">
        <v>0</v>
      </c>
      <c r="O111" s="150">
        <f>IF(E$6="Orsinium",60000*Q111*(1-L$7)*(1-N111),30000*Q111*(1-L$7)*(1-N111))</f>
        <v>0</v>
      </c>
      <c r="P111" s="145">
        <f t="shared" si="16"/>
        <v>0</v>
      </c>
      <c r="Q111" s="146">
        <f t="shared" si="15"/>
        <v>0</v>
      </c>
    </row>
    <row r="112" spans="1:17" ht="15.75" thickBot="1" x14ac:dyDescent="0.3">
      <c r="A112" s="3" t="s">
        <v>215</v>
      </c>
      <c r="B112" s="117" t="s">
        <v>166</v>
      </c>
      <c r="C112" s="91" t="s">
        <v>8</v>
      </c>
      <c r="D112" s="92" t="s">
        <v>9</v>
      </c>
      <c r="E112" s="92" t="s">
        <v>10</v>
      </c>
      <c r="F112" s="92" t="s">
        <v>137</v>
      </c>
      <c r="G112" s="92" t="s">
        <v>11</v>
      </c>
      <c r="H112" s="92" t="s">
        <v>138</v>
      </c>
      <c r="I112" s="92" t="s">
        <v>139</v>
      </c>
      <c r="J112" s="92" t="s">
        <v>12</v>
      </c>
      <c r="K112" s="92" t="s">
        <v>13</v>
      </c>
      <c r="L112" s="93" t="s">
        <v>105</v>
      </c>
      <c r="M112" s="93"/>
      <c r="N112" s="93"/>
      <c r="O112" s="151"/>
      <c r="P112" s="147"/>
      <c r="Q112" s="148"/>
    </row>
    <row r="113" spans="1:17" x14ac:dyDescent="0.25">
      <c r="A113" t="s">
        <v>142</v>
      </c>
      <c r="B113" s="115">
        <v>0</v>
      </c>
      <c r="C113" s="15"/>
      <c r="D113" s="15"/>
      <c r="E113" s="15">
        <f>TRUNC(10*Q113*(1-N113))</f>
        <v>0</v>
      </c>
      <c r="F113" s="15"/>
      <c r="G113" s="15"/>
      <c r="H113" s="15">
        <f>TRUNC(10*Q113*(1-N113))</f>
        <v>0</v>
      </c>
      <c r="I113" s="15"/>
      <c r="J113" s="15">
        <f>TRUNC(10*Q113*(1-N113))</f>
        <v>0</v>
      </c>
      <c r="K113" s="15"/>
      <c r="L113" s="16"/>
      <c r="M113" s="127" t="s">
        <v>173</v>
      </c>
      <c r="N113" s="124">
        <v>0</v>
      </c>
      <c r="O113" s="149">
        <f>IF(E$6="Strik",40000*Q113*(1-L$7)*(1-N113),0)</f>
        <v>0</v>
      </c>
      <c r="P113" s="145">
        <f t="shared" si="16"/>
        <v>0</v>
      </c>
      <c r="Q113" s="146">
        <f>IF(E$6=A113,IF(M113="Possédée",1,IF(M113="Assiégée",0.5,0)),0)</f>
        <v>0</v>
      </c>
    </row>
    <row r="114" spans="1:17" x14ac:dyDescent="0.25">
      <c r="A114" t="s">
        <v>143</v>
      </c>
      <c r="B114" s="116">
        <v>0</v>
      </c>
      <c r="C114" s="17"/>
      <c r="D114" s="17"/>
      <c r="E114" s="17">
        <f>TRUNC(10*Q114*(1-N114))</f>
        <v>0</v>
      </c>
      <c r="F114" s="17"/>
      <c r="G114" s="17"/>
      <c r="H114" s="17">
        <f>TRUNC(10*Q114*(1-N114))</f>
        <v>0</v>
      </c>
      <c r="I114" s="17"/>
      <c r="J114" s="17">
        <f>TRUNC(10*Q114*(1-N114))</f>
        <v>0</v>
      </c>
      <c r="K114" s="17"/>
      <c r="L114" s="18"/>
      <c r="M114" s="127" t="s">
        <v>173</v>
      </c>
      <c r="N114" s="124">
        <v>0</v>
      </c>
      <c r="O114" s="150">
        <f>IF(E$6="Stros M'Kai",40000*Q114*(1-L$7)*(1-N114),0)</f>
        <v>0</v>
      </c>
      <c r="P114" s="145">
        <f t="shared" si="16"/>
        <v>0</v>
      </c>
      <c r="Q114" s="146">
        <f t="shared" ref="Q114:Q118" si="19">IF(E$6=A114,IF(M114="Possédée",1,IF(M114="Assiégée",0.5,0)),0)</f>
        <v>0</v>
      </c>
    </row>
    <row r="115" spans="1:17" x14ac:dyDescent="0.25">
      <c r="A115" t="s">
        <v>144</v>
      </c>
      <c r="B115" s="116">
        <v>0</v>
      </c>
      <c r="C115" s="17"/>
      <c r="D115" s="17"/>
      <c r="E115" s="17">
        <f t="shared" ref="E115:E118" si="20">TRUNC(10*Q115*(1-N115))</f>
        <v>0</v>
      </c>
      <c r="F115" s="17"/>
      <c r="G115" s="17"/>
      <c r="H115" s="17">
        <f t="shared" ref="H115:H118" si="21">TRUNC(10*Q115*(1-N115))</f>
        <v>0</v>
      </c>
      <c r="I115" s="17"/>
      <c r="J115" s="17">
        <f t="shared" ref="J115:J118" si="22">TRUNC(10*Q115*(1-N115))</f>
        <v>0</v>
      </c>
      <c r="K115" s="17"/>
      <c r="L115" s="18"/>
      <c r="M115" s="127" t="s">
        <v>173</v>
      </c>
      <c r="N115" s="124">
        <v>0</v>
      </c>
      <c r="O115" s="150">
        <f>IF(E$6="Vivec",40000*Q115*(1-L$7)*(1-N115),0)</f>
        <v>0</v>
      </c>
      <c r="P115" s="145">
        <f t="shared" si="16"/>
        <v>0</v>
      </c>
      <c r="Q115" s="146">
        <f t="shared" si="19"/>
        <v>0</v>
      </c>
    </row>
    <row r="116" spans="1:17" x14ac:dyDescent="0.25">
      <c r="A116" t="s">
        <v>145</v>
      </c>
      <c r="B116" s="116">
        <v>0</v>
      </c>
      <c r="C116" s="17"/>
      <c r="D116" s="17"/>
      <c r="E116" s="17">
        <f t="shared" si="20"/>
        <v>0</v>
      </c>
      <c r="F116" s="17"/>
      <c r="G116" s="17"/>
      <c r="H116" s="17">
        <f t="shared" si="21"/>
        <v>0</v>
      </c>
      <c r="I116" s="17"/>
      <c r="J116" s="17">
        <f t="shared" si="22"/>
        <v>0</v>
      </c>
      <c r="K116" s="17"/>
      <c r="L116" s="18"/>
      <c r="M116" s="127" t="s">
        <v>173</v>
      </c>
      <c r="N116" s="124">
        <v>0</v>
      </c>
      <c r="O116" s="150">
        <f>IF(E$6="Sadrith Mora",40000*Q116*(1-L$7)*(1-N116),0)</f>
        <v>0</v>
      </c>
      <c r="P116" s="145">
        <f t="shared" si="16"/>
        <v>0</v>
      </c>
      <c r="Q116" s="146">
        <f t="shared" si="19"/>
        <v>0</v>
      </c>
    </row>
    <row r="117" spans="1:17" x14ac:dyDescent="0.25">
      <c r="A117" t="s">
        <v>146</v>
      </c>
      <c r="B117" s="116">
        <v>0</v>
      </c>
      <c r="C117" s="17"/>
      <c r="D117" s="17"/>
      <c r="E117" s="17">
        <f t="shared" si="20"/>
        <v>0</v>
      </c>
      <c r="F117" s="17"/>
      <c r="G117" s="17"/>
      <c r="H117" s="17">
        <f t="shared" si="21"/>
        <v>0</v>
      </c>
      <c r="I117" s="17"/>
      <c r="J117" s="17">
        <f t="shared" si="22"/>
        <v>0</v>
      </c>
      <c r="K117" s="17"/>
      <c r="L117" s="18"/>
      <c r="M117" s="127" t="s">
        <v>173</v>
      </c>
      <c r="N117" s="124">
        <v>0</v>
      </c>
      <c r="O117" s="150">
        <f>IF(E$6="Dagon Fel",40000*Q117*(1-L$7)*(1-N117),0)</f>
        <v>0</v>
      </c>
      <c r="P117" s="145">
        <f t="shared" si="16"/>
        <v>0</v>
      </c>
      <c r="Q117" s="146">
        <f t="shared" si="19"/>
        <v>0</v>
      </c>
    </row>
    <row r="118" spans="1:17" ht="15.75" thickBot="1" x14ac:dyDescent="0.3">
      <c r="A118" s="40" t="s">
        <v>147</v>
      </c>
      <c r="B118" s="118">
        <v>0</v>
      </c>
      <c r="C118" s="21"/>
      <c r="D118" s="21"/>
      <c r="E118" s="17">
        <f t="shared" si="20"/>
        <v>0</v>
      </c>
      <c r="F118" s="21"/>
      <c r="G118" s="21"/>
      <c r="H118" s="17">
        <f t="shared" si="21"/>
        <v>0</v>
      </c>
      <c r="I118" s="21"/>
      <c r="J118" s="17">
        <f t="shared" si="22"/>
        <v>0</v>
      </c>
      <c r="K118" s="21"/>
      <c r="L118" s="22"/>
      <c r="M118" s="128" t="s">
        <v>173</v>
      </c>
      <c r="N118" s="125">
        <v>0</v>
      </c>
      <c r="O118" s="150">
        <f>IF(E$6="Port Telvannis",40000*Q118*(1-L$7)*(1-N118),0)</f>
        <v>0</v>
      </c>
      <c r="P118" s="145">
        <f t="shared" si="16"/>
        <v>0</v>
      </c>
      <c r="Q118" s="146">
        <f t="shared" si="19"/>
        <v>0</v>
      </c>
    </row>
    <row r="119" spans="1:17" ht="15.75" thickBot="1" x14ac:dyDescent="0.3">
      <c r="A119" s="132" t="s">
        <v>202</v>
      </c>
      <c r="B119" s="119">
        <f>SUM(P27:P118)</f>
        <v>150</v>
      </c>
      <c r="C119" s="89">
        <f>SUM(C27:C118)</f>
        <v>600</v>
      </c>
      <c r="D119" s="89">
        <f>SUM(D27:D118)</f>
        <v>0</v>
      </c>
      <c r="E119" s="89">
        <f>SUM(E27:E118)</f>
        <v>0</v>
      </c>
      <c r="F119" s="89">
        <f t="shared" ref="F119:L119" si="23">SUM(F27:F118)</f>
        <v>70</v>
      </c>
      <c r="G119" s="89">
        <f t="shared" si="23"/>
        <v>70</v>
      </c>
      <c r="H119" s="89">
        <f t="shared" si="23"/>
        <v>210</v>
      </c>
      <c r="I119" s="89">
        <f t="shared" si="23"/>
        <v>470</v>
      </c>
      <c r="J119" s="89">
        <f t="shared" si="23"/>
        <v>260</v>
      </c>
      <c r="K119" s="89">
        <f t="shared" si="23"/>
        <v>20</v>
      </c>
      <c r="L119" s="89">
        <f t="shared" si="23"/>
        <v>40</v>
      </c>
      <c r="M119" s="133"/>
      <c r="N119" s="134"/>
      <c r="O119" s="151">
        <f>SUM(O27:O118)</f>
        <v>330000</v>
      </c>
      <c r="P119" s="147"/>
      <c r="Q119" s="148"/>
    </row>
    <row r="120" spans="1:17" x14ac:dyDescent="0.25">
      <c r="A120" s="131" t="s">
        <v>216</v>
      </c>
    </row>
    <row r="122" spans="1:17" x14ac:dyDescent="0.25">
      <c r="A122" t="s">
        <v>160</v>
      </c>
    </row>
    <row r="123" spans="1:17" x14ac:dyDescent="0.25">
      <c r="A123" t="s">
        <v>22</v>
      </c>
      <c r="D123" t="s">
        <v>199</v>
      </c>
    </row>
    <row r="124" spans="1:17" x14ac:dyDescent="0.25">
      <c r="A124" t="s">
        <v>23</v>
      </c>
      <c r="B124" s="122">
        <v>0</v>
      </c>
      <c r="C124" t="s">
        <v>178</v>
      </c>
      <c r="D124" t="s">
        <v>200</v>
      </c>
      <c r="E124">
        <f>COUNTIF(M27:M111,"Possédée")+COUNTIF(M27:M111,"Assiégée")</f>
        <v>10</v>
      </c>
    </row>
    <row r="125" spans="1:17" x14ac:dyDescent="0.25">
      <c r="A125" t="s">
        <v>24</v>
      </c>
      <c r="B125" s="122">
        <v>0.05</v>
      </c>
      <c r="C125" t="s">
        <v>179</v>
      </c>
      <c r="D125" t="s">
        <v>217</v>
      </c>
      <c r="E125">
        <f>COUNTIF(M113:M118,"Possédée")+COUNTIF(M113:M118,"Assiégée")</f>
        <v>0</v>
      </c>
    </row>
    <row r="126" spans="1:17" x14ac:dyDescent="0.25">
      <c r="A126" t="s">
        <v>33</v>
      </c>
      <c r="B126" s="122">
        <v>0.1</v>
      </c>
      <c r="C126" t="s">
        <v>180</v>
      </c>
      <c r="D126" s="97" t="s">
        <v>218</v>
      </c>
      <c r="E126">
        <f>COUNTIF(M27:M118,"Possédée")+COUNTIF(M27:M118,"Assiégée")</f>
        <v>10</v>
      </c>
    </row>
    <row r="127" spans="1:17" x14ac:dyDescent="0.25">
      <c r="A127" t="s">
        <v>41</v>
      </c>
      <c r="B127" s="122">
        <v>0.15</v>
      </c>
      <c r="C127" t="s">
        <v>181</v>
      </c>
      <c r="D127" t="s">
        <v>201</v>
      </c>
      <c r="E127">
        <f>COUNTIF(M27:M118,"Assiégée")</f>
        <v>0</v>
      </c>
    </row>
    <row r="128" spans="1:17" x14ac:dyDescent="0.25">
      <c r="A128" t="s">
        <v>49</v>
      </c>
      <c r="B128" s="122">
        <v>0.2</v>
      </c>
      <c r="C128" t="s">
        <v>182</v>
      </c>
    </row>
    <row r="129" spans="1:3" x14ac:dyDescent="0.25">
      <c r="A129" t="s">
        <v>59</v>
      </c>
      <c r="B129" s="122">
        <v>0.25</v>
      </c>
      <c r="C129" t="s">
        <v>183</v>
      </c>
    </row>
    <row r="130" spans="1:3" x14ac:dyDescent="0.25">
      <c r="A130" t="s">
        <v>68</v>
      </c>
      <c r="B130" s="122">
        <v>0.3</v>
      </c>
      <c r="C130" t="s">
        <v>184</v>
      </c>
    </row>
    <row r="131" spans="1:3" x14ac:dyDescent="0.25">
      <c r="A131" t="s">
        <v>77</v>
      </c>
      <c r="B131" s="122">
        <v>0.35</v>
      </c>
      <c r="C131" t="s">
        <v>185</v>
      </c>
    </row>
    <row r="132" spans="1:3" x14ac:dyDescent="0.25">
      <c r="A132" t="s">
        <v>86</v>
      </c>
      <c r="B132" s="122">
        <v>0.4</v>
      </c>
      <c r="C132" t="s">
        <v>186</v>
      </c>
    </row>
    <row r="133" spans="1:3" x14ac:dyDescent="0.25">
      <c r="A133" t="s">
        <v>140</v>
      </c>
      <c r="B133" s="122">
        <v>0.45</v>
      </c>
      <c r="C133" t="s">
        <v>187</v>
      </c>
    </row>
    <row r="134" spans="1:3" x14ac:dyDescent="0.25">
      <c r="A134" t="s">
        <v>142</v>
      </c>
      <c r="B134" s="122">
        <v>0.5</v>
      </c>
      <c r="C134" t="s">
        <v>188</v>
      </c>
    </row>
    <row r="135" spans="1:3" x14ac:dyDescent="0.25">
      <c r="A135" t="s">
        <v>143</v>
      </c>
      <c r="B135" s="122">
        <v>0.55000000000000004</v>
      </c>
      <c r="C135" t="s">
        <v>189</v>
      </c>
    </row>
    <row r="136" spans="1:3" x14ac:dyDescent="0.25">
      <c r="A136" t="s">
        <v>144</v>
      </c>
      <c r="B136" s="122">
        <v>0.6</v>
      </c>
      <c r="C136" t="s">
        <v>190</v>
      </c>
    </row>
    <row r="137" spans="1:3" x14ac:dyDescent="0.25">
      <c r="A137" t="s">
        <v>145</v>
      </c>
      <c r="B137" s="122">
        <v>0.65</v>
      </c>
      <c r="C137" t="s">
        <v>191</v>
      </c>
    </row>
    <row r="138" spans="1:3" x14ac:dyDescent="0.25">
      <c r="A138" t="s">
        <v>146</v>
      </c>
      <c r="B138" s="122">
        <v>0.7</v>
      </c>
      <c r="C138" t="s">
        <v>192</v>
      </c>
    </row>
    <row r="139" spans="1:3" x14ac:dyDescent="0.25">
      <c r="A139" t="s">
        <v>147</v>
      </c>
      <c r="B139" s="122">
        <v>0.75</v>
      </c>
      <c r="C139" t="s">
        <v>193</v>
      </c>
    </row>
    <row r="140" spans="1:3" x14ac:dyDescent="0.25">
      <c r="A140" t="s">
        <v>219</v>
      </c>
      <c r="B140" s="122">
        <v>0.8</v>
      </c>
      <c r="C140" t="s">
        <v>194</v>
      </c>
    </row>
    <row r="141" spans="1:3" x14ac:dyDescent="0.25">
      <c r="B141" s="122">
        <v>0.85</v>
      </c>
      <c r="C141" t="s">
        <v>195</v>
      </c>
    </row>
    <row r="142" spans="1:3" x14ac:dyDescent="0.25">
      <c r="B142" s="122">
        <v>0.9</v>
      </c>
      <c r="C142" t="s">
        <v>196</v>
      </c>
    </row>
    <row r="143" spans="1:3" x14ac:dyDescent="0.25">
      <c r="B143" s="122">
        <v>0.95</v>
      </c>
      <c r="C143" t="s">
        <v>197</v>
      </c>
    </row>
    <row r="144" spans="1:3" x14ac:dyDescent="0.25">
      <c r="B144" s="122">
        <v>1</v>
      </c>
      <c r="C144" t="s">
        <v>198</v>
      </c>
    </row>
    <row r="145" spans="3:3" x14ac:dyDescent="0.25">
      <c r="C145" t="s">
        <v>209</v>
      </c>
    </row>
    <row r="146" spans="3:3" x14ac:dyDescent="0.25">
      <c r="C146" t="s">
        <v>210</v>
      </c>
    </row>
    <row r="147" spans="3:3" x14ac:dyDescent="0.25">
      <c r="C147" t="s">
        <v>211</v>
      </c>
    </row>
    <row r="148" spans="3:3" x14ac:dyDescent="0.25">
      <c r="C148" t="s">
        <v>212</v>
      </c>
    </row>
  </sheetData>
  <mergeCells count="6">
    <mergeCell ref="P25:Q25"/>
    <mergeCell ref="E6:G6"/>
    <mergeCell ref="H6:K6"/>
    <mergeCell ref="C7:D7"/>
    <mergeCell ref="H7:K7"/>
    <mergeCell ref="C25:L25"/>
  </mergeCells>
  <conditionalFormatting sqref="C21:L21">
    <cfRule type="cellIs" dxfId="31" priority="5" operator="greaterThanOrEqual">
      <formula>0</formula>
    </cfRule>
    <cfRule type="cellIs" dxfId="30" priority="6" operator="lessThan">
      <formula>0</formula>
    </cfRule>
  </conditionalFormatting>
  <conditionalFormatting sqref="C13:L13">
    <cfRule type="containsText" dxfId="29" priority="7" operator="containsText" text="Oui">
      <formula>NOT(ISERROR(SEARCH("Oui",C13)))</formula>
    </cfRule>
    <cfRule type="containsText" dxfId="28" priority="8" operator="containsText" text="Non">
      <formula>NOT(ISERROR(SEARCH("Non",C13)))</formula>
    </cfRule>
  </conditionalFormatting>
  <conditionalFormatting sqref="M27:M34 M36:M43 M45:M53 M55:M61 M63:M70 M72:M79 M81:M88 M90:M97 M99:M106 M108:M111 M113:M119">
    <cfRule type="containsText" dxfId="27" priority="2" operator="containsText" text="Non Possédée">
      <formula>NOT(ISERROR(SEARCH("Non Possédée",M27)))</formula>
    </cfRule>
    <cfRule type="containsText" dxfId="26" priority="3" operator="containsText" text="Assiégée">
      <formula>NOT(ISERROR(SEARCH("Assiégée",M27)))</formula>
    </cfRule>
    <cfRule type="containsText" dxfId="25" priority="4" operator="containsText" text="Possédée">
      <formula>NOT(ISERROR(SEARCH("Possédée",M27)))</formula>
    </cfRule>
  </conditionalFormatting>
  <conditionalFormatting sqref="N27:N34 N36:N43 N45:N53 N63:N70 N72:N79 N81:N88 N90:N97 N99:N106 N108:N111 N113:N119 N55:N61">
    <cfRule type="cellIs" dxfId="24" priority="1" operator="greaterThan">
      <formula>0</formula>
    </cfRule>
  </conditionalFormatting>
  <dataValidations count="4">
    <dataValidation type="list" allowBlank="1" showInputMessage="1" showErrorMessage="1" sqref="E6">
      <formula1>Provinces</formula1>
    </dataValidation>
    <dataValidation type="list" allowBlank="1" showInputMessage="1" showErrorMessage="1" sqref="M99:M106 M27:M34 M36:M43 M45:M53 M55:M61 M63:M70 M72:M79 M81:M88 M90:M97 M108:M111 M113:M119">
      <formula1>"Possédée,Assiégée,Non Possédée"</formula1>
    </dataValidation>
    <dataValidation type="list" allowBlank="1" showInputMessage="1" showErrorMessage="1" sqref="N108:N111 N27:N34 N36:N43 N113:N119 N45:N53 N63:N70 N72:N79 N81:N88 N90:N97 N99:N106 N55:N61">
      <formula1>Malus</formula1>
    </dataValidation>
    <dataValidation type="list" errorStyle="information" allowBlank="1" showInputMessage="1" showErrorMessage="1" sqref="D8 E7">
      <formula1>Année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8"/>
  <sheetViews>
    <sheetView workbookViewId="0">
      <selection activeCell="O1" sqref="O1"/>
    </sheetView>
  </sheetViews>
  <sheetFormatPr baseColWidth="10" defaultRowHeight="15" x14ac:dyDescent="0.25"/>
  <cols>
    <col min="1" max="1" width="21" customWidth="1"/>
    <col min="2" max="2" width="6.28515625" customWidth="1"/>
    <col min="13" max="13" width="13.85546875" customWidth="1"/>
    <col min="14" max="14" width="9.85546875" customWidth="1"/>
    <col min="15" max="15" width="10.140625" customWidth="1"/>
    <col min="16" max="16" width="12" customWidth="1"/>
    <col min="17" max="17" width="17.28515625" customWidth="1"/>
  </cols>
  <sheetData>
    <row r="1" spans="1:17" ht="21" x14ac:dyDescent="0.35">
      <c r="A1" s="2" t="s">
        <v>170</v>
      </c>
      <c r="B1" s="1"/>
    </row>
    <row r="3" spans="1:17" x14ac:dyDescent="0.25">
      <c r="A3" t="s">
        <v>141</v>
      </c>
    </row>
    <row r="4" spans="1:17" x14ac:dyDescent="0.25">
      <c r="A4" t="s">
        <v>220</v>
      </c>
    </row>
    <row r="6" spans="1:17" x14ac:dyDescent="0.25">
      <c r="A6" s="94" t="s">
        <v>148</v>
      </c>
      <c r="B6" s="95"/>
      <c r="C6" s="59" t="s">
        <v>149</v>
      </c>
      <c r="E6" s="156" t="s">
        <v>86</v>
      </c>
      <c r="F6" s="157"/>
      <c r="G6" s="158"/>
      <c r="H6" s="164" t="s">
        <v>207</v>
      </c>
      <c r="I6" s="165"/>
      <c r="J6" s="165"/>
      <c r="K6" s="163"/>
      <c r="L6" s="139">
        <v>8</v>
      </c>
      <c r="O6" s="137" t="s">
        <v>206</v>
      </c>
      <c r="Q6" s="97"/>
    </row>
    <row r="7" spans="1:17" x14ac:dyDescent="0.25">
      <c r="A7" s="98" t="s">
        <v>150</v>
      </c>
      <c r="B7" s="96"/>
      <c r="C7" s="166" t="s">
        <v>151</v>
      </c>
      <c r="D7" s="167"/>
      <c r="E7" s="138" t="s">
        <v>178</v>
      </c>
      <c r="F7" s="97"/>
      <c r="H7" s="162" t="s">
        <v>152</v>
      </c>
      <c r="I7" s="162"/>
      <c r="J7" s="162"/>
      <c r="K7" s="163"/>
      <c r="L7" s="140">
        <f>1-(COUNTIF(C13:L13,"Oui" )/10)</f>
        <v>0</v>
      </c>
      <c r="O7" s="153" t="s">
        <v>221</v>
      </c>
      <c r="P7" s="97"/>
      <c r="Q7" s="97"/>
    </row>
    <row r="8" spans="1:17" ht="15.75" thickBot="1" x14ac:dyDescent="0.3">
      <c r="A8" s="98"/>
      <c r="B8" s="96"/>
      <c r="H8" t="s">
        <v>208</v>
      </c>
      <c r="L8" s="152">
        <f>O119</f>
        <v>120000</v>
      </c>
      <c r="P8" s="97"/>
      <c r="Q8" s="97"/>
    </row>
    <row r="9" spans="1:17" ht="15.75" thickBot="1" x14ac:dyDescent="0.3">
      <c r="A9" s="97"/>
      <c r="B9" s="97"/>
      <c r="C9" s="100" t="s">
        <v>8</v>
      </c>
      <c r="D9" s="101" t="s">
        <v>9</v>
      </c>
      <c r="E9" s="101" t="s">
        <v>10</v>
      </c>
      <c r="F9" s="101" t="s">
        <v>137</v>
      </c>
      <c r="G9" s="101" t="s">
        <v>11</v>
      </c>
      <c r="H9" s="101" t="s">
        <v>138</v>
      </c>
      <c r="I9" s="101" t="s">
        <v>139</v>
      </c>
      <c r="J9" s="101" t="s">
        <v>12</v>
      </c>
      <c r="K9" s="101" t="s">
        <v>13</v>
      </c>
      <c r="L9" s="102" t="s">
        <v>105</v>
      </c>
    </row>
    <row r="10" spans="1:17" x14ac:dyDescent="0.25">
      <c r="A10" s="103" t="s">
        <v>153</v>
      </c>
      <c r="B10" s="97"/>
      <c r="C10" s="136">
        <v>120</v>
      </c>
      <c r="D10" s="104">
        <v>120</v>
      </c>
      <c r="E10" s="104">
        <v>120</v>
      </c>
      <c r="F10" s="104">
        <v>120</v>
      </c>
      <c r="G10" s="104">
        <v>120</v>
      </c>
      <c r="H10" s="104">
        <v>120</v>
      </c>
      <c r="I10" s="104">
        <v>120</v>
      </c>
      <c r="J10" s="104">
        <v>120</v>
      </c>
      <c r="K10" s="104">
        <v>120</v>
      </c>
      <c r="L10" s="135">
        <v>120</v>
      </c>
    </row>
    <row r="11" spans="1:17" x14ac:dyDescent="0.25">
      <c r="A11" s="103" t="s">
        <v>154</v>
      </c>
      <c r="B11" s="97"/>
      <c r="C11" s="105">
        <f>15*L6</f>
        <v>120</v>
      </c>
      <c r="D11" s="105">
        <f>15*L6</f>
        <v>120</v>
      </c>
      <c r="E11" s="105">
        <f>15*L6</f>
        <v>120</v>
      </c>
      <c r="F11" s="105">
        <f>15*L6</f>
        <v>120</v>
      </c>
      <c r="G11" s="105">
        <f>15*L6</f>
        <v>120</v>
      </c>
      <c r="H11" s="105">
        <f>15*L6</f>
        <v>120</v>
      </c>
      <c r="I11" s="105">
        <f>15*L6</f>
        <v>120</v>
      </c>
      <c r="J11" s="105">
        <f>15*L6</f>
        <v>120</v>
      </c>
      <c r="K11" s="105">
        <f>15*L6</f>
        <v>120</v>
      </c>
      <c r="L11" s="105">
        <f>15*L6</f>
        <v>120</v>
      </c>
    </row>
    <row r="12" spans="1:17" x14ac:dyDescent="0.25">
      <c r="A12" s="103" t="s">
        <v>155</v>
      </c>
      <c r="B12" s="97"/>
      <c r="C12" s="106">
        <f>C119</f>
        <v>0</v>
      </c>
      <c r="D12" s="106">
        <f>D119</f>
        <v>90</v>
      </c>
      <c r="E12" s="106">
        <f t="shared" ref="E12:L12" si="0">E119</f>
        <v>170</v>
      </c>
      <c r="F12" s="106">
        <f t="shared" si="0"/>
        <v>0</v>
      </c>
      <c r="G12" s="106">
        <f t="shared" si="0"/>
        <v>50</v>
      </c>
      <c r="H12" s="106">
        <f t="shared" si="0"/>
        <v>0</v>
      </c>
      <c r="I12" s="106">
        <f t="shared" si="0"/>
        <v>0</v>
      </c>
      <c r="J12" s="106">
        <f t="shared" si="0"/>
        <v>0</v>
      </c>
      <c r="K12" s="106">
        <f t="shared" si="0"/>
        <v>240</v>
      </c>
      <c r="L12" s="106">
        <f t="shared" si="0"/>
        <v>0</v>
      </c>
    </row>
    <row r="13" spans="1:17" x14ac:dyDescent="0.25">
      <c r="A13" s="88" t="s">
        <v>156</v>
      </c>
      <c r="B13" s="97"/>
      <c r="C13" s="107" t="str">
        <f>IF((C10-C11) &gt;= 0,"Oui","Non")</f>
        <v>Oui</v>
      </c>
      <c r="D13" s="107" t="str">
        <f t="shared" ref="D13:L13" si="1">IF((D10-D11) &gt;= 0,"Oui","Non")</f>
        <v>Oui</v>
      </c>
      <c r="E13" s="107" t="str">
        <f t="shared" si="1"/>
        <v>Oui</v>
      </c>
      <c r="F13" s="107" t="str">
        <f t="shared" si="1"/>
        <v>Oui</v>
      </c>
      <c r="G13" s="107" t="str">
        <f t="shared" si="1"/>
        <v>Oui</v>
      </c>
      <c r="H13" s="107" t="str">
        <f t="shared" si="1"/>
        <v>Oui</v>
      </c>
      <c r="I13" s="107" t="str">
        <f t="shared" si="1"/>
        <v>Oui</v>
      </c>
      <c r="J13" s="107" t="str">
        <f t="shared" si="1"/>
        <v>Oui</v>
      </c>
      <c r="K13" s="107" t="str">
        <f t="shared" si="1"/>
        <v>Oui</v>
      </c>
      <c r="L13" s="107" t="str">
        <f t="shared" si="1"/>
        <v>Oui</v>
      </c>
    </row>
    <row r="14" spans="1:17" x14ac:dyDescent="0.25">
      <c r="A14" s="103" t="s">
        <v>157</v>
      </c>
      <c r="B14" s="97"/>
      <c r="C14" s="108">
        <f>IF(C13="OUI",C10-C11+C12,C10+C12)</f>
        <v>0</v>
      </c>
      <c r="D14" s="108">
        <f>IF(D13="OUI",D10-D11+D12,D10+D12)</f>
        <v>90</v>
      </c>
      <c r="E14" s="108">
        <f t="shared" ref="E14:L14" si="2">IF(E13="OUI",E10-E11+E12,E10+E12)</f>
        <v>170</v>
      </c>
      <c r="F14" s="108">
        <f t="shared" si="2"/>
        <v>0</v>
      </c>
      <c r="G14" s="108">
        <f t="shared" si="2"/>
        <v>50</v>
      </c>
      <c r="H14" s="108">
        <f t="shared" si="2"/>
        <v>0</v>
      </c>
      <c r="I14" s="108">
        <f t="shared" si="2"/>
        <v>0</v>
      </c>
      <c r="J14" s="108">
        <f t="shared" si="2"/>
        <v>0</v>
      </c>
      <c r="K14" s="108">
        <f t="shared" si="2"/>
        <v>240</v>
      </c>
      <c r="L14" s="108">
        <f t="shared" si="2"/>
        <v>0</v>
      </c>
    </row>
    <row r="15" spans="1:17" x14ac:dyDescent="0.25">
      <c r="A15" s="103" t="s">
        <v>162</v>
      </c>
      <c r="B15" s="97"/>
      <c r="C15" s="142"/>
      <c r="D15" s="142"/>
      <c r="E15" s="142"/>
      <c r="F15" s="142"/>
      <c r="G15" s="142"/>
      <c r="H15" s="142"/>
      <c r="I15" s="142"/>
      <c r="J15" s="142"/>
      <c r="K15" s="142"/>
      <c r="L15" s="142"/>
    </row>
    <row r="16" spans="1:17" x14ac:dyDescent="0.25">
      <c r="A16" s="103" t="s">
        <v>165</v>
      </c>
      <c r="B16" s="97"/>
      <c r="C16" s="142"/>
      <c r="D16" s="142"/>
      <c r="E16" s="142"/>
      <c r="F16" s="142"/>
      <c r="G16" s="142"/>
      <c r="H16" s="142"/>
      <c r="I16" s="142"/>
      <c r="J16" s="142"/>
      <c r="K16" s="142"/>
      <c r="L16" s="142"/>
    </row>
    <row r="17" spans="1:17" x14ac:dyDescent="0.25">
      <c r="A17" s="103" t="s">
        <v>163</v>
      </c>
      <c r="B17" s="97"/>
      <c r="C17" s="141"/>
      <c r="D17" s="141"/>
      <c r="E17" s="141"/>
      <c r="F17" s="141"/>
      <c r="G17" s="141"/>
      <c r="H17" s="141"/>
      <c r="I17" s="141"/>
      <c r="J17" s="141"/>
      <c r="K17" s="141"/>
      <c r="L17" s="141"/>
    </row>
    <row r="18" spans="1:17" x14ac:dyDescent="0.25">
      <c r="A18" s="103" t="s">
        <v>164</v>
      </c>
      <c r="B18" s="97"/>
      <c r="C18" s="141"/>
      <c r="D18" s="141"/>
      <c r="E18" s="141"/>
      <c r="F18" s="141"/>
      <c r="G18" s="141"/>
      <c r="H18" s="141"/>
      <c r="I18" s="141"/>
      <c r="J18" s="141"/>
      <c r="K18" s="141"/>
      <c r="L18" s="141"/>
    </row>
    <row r="19" spans="1:17" x14ac:dyDescent="0.25">
      <c r="A19" s="109" t="s">
        <v>158</v>
      </c>
      <c r="B19" s="97"/>
      <c r="C19" s="110">
        <f>C14+C15+C16-C17-C18</f>
        <v>0</v>
      </c>
      <c r="D19" s="110">
        <f>D14+D15+D16-D17-D18</f>
        <v>90</v>
      </c>
      <c r="E19" s="110">
        <f t="shared" ref="E19:K19" si="3">E14+E15+E16-E17-E18</f>
        <v>170</v>
      </c>
      <c r="F19" s="110">
        <f>F14+F15+F16-F17-F18</f>
        <v>0</v>
      </c>
      <c r="G19" s="110">
        <f t="shared" si="3"/>
        <v>50</v>
      </c>
      <c r="H19" s="110">
        <f t="shared" si="3"/>
        <v>0</v>
      </c>
      <c r="I19" s="110">
        <f t="shared" si="3"/>
        <v>0</v>
      </c>
      <c r="J19" s="110">
        <f t="shared" si="3"/>
        <v>0</v>
      </c>
      <c r="K19" s="110">
        <f t="shared" si="3"/>
        <v>240</v>
      </c>
      <c r="L19" s="110">
        <f>L14+L15+L16-L17-L18</f>
        <v>0</v>
      </c>
    </row>
    <row r="20" spans="1:17" x14ac:dyDescent="0.25">
      <c r="A20" s="103" t="s">
        <v>161</v>
      </c>
      <c r="B20" s="97"/>
      <c r="C20" s="111">
        <f>(COUNTIF(M27:M111,"Possédée")+COUNTIF(M27:M111,"Assiégée"))*15</f>
        <v>45</v>
      </c>
      <c r="D20" s="111">
        <f>(COUNTIF(M27:M111,"Possédée")+COUNTIF(M27:M111,"Assiégée"))*15</f>
        <v>45</v>
      </c>
      <c r="E20" s="111">
        <f>(COUNTIF(M27:M111,"Possédée")+COUNTIF(M27:M111,"Assiégée"))*15</f>
        <v>45</v>
      </c>
      <c r="F20" s="111">
        <f>(COUNTIF(M27:M111,"Possédée")+COUNTIF(M27:M111,"Assiégée"))*15</f>
        <v>45</v>
      </c>
      <c r="G20" s="111">
        <f>(COUNTIF(M27:M111,"Possédée")+COUNTIF(M27:M111,"Assiégée"))*15</f>
        <v>45</v>
      </c>
      <c r="H20" s="111">
        <f>(COUNTIF(M27:M111,"Possédée")+COUNTIF(M27:M111,"Assiégée"))*15</f>
        <v>45</v>
      </c>
      <c r="I20" s="111">
        <f>(COUNTIF(M27:M111,"Possédée")+COUNTIF(M27:M111,"Assiégée"))*15</f>
        <v>45</v>
      </c>
      <c r="J20" s="111">
        <f>(COUNTIF(M27:M111,"Possédée")+COUNTIF(M27:M111,"Assiégée"))*15</f>
        <v>45</v>
      </c>
      <c r="K20" s="111">
        <f>(COUNTIF(M27:M111,"Possédée")+COUNTIF(M27:M111,"Assiégée"))*15</f>
        <v>45</v>
      </c>
      <c r="L20" s="111">
        <f>(COUNTIF(M27:M111,"Possédée")+COUNTIF(M27:M111,"Assiégée"))*15</f>
        <v>45</v>
      </c>
    </row>
    <row r="21" spans="1:17" x14ac:dyDescent="0.25">
      <c r="A21" s="103" t="s">
        <v>159</v>
      </c>
      <c r="B21" s="97"/>
      <c r="C21" s="112">
        <f>C19-C20</f>
        <v>-45</v>
      </c>
      <c r="D21" s="112">
        <f t="shared" ref="D21:L21" si="4">D19-D20</f>
        <v>45</v>
      </c>
      <c r="E21" s="112">
        <f>E19-E20</f>
        <v>125</v>
      </c>
      <c r="F21" s="112">
        <f>F19-F20</f>
        <v>-45</v>
      </c>
      <c r="G21" s="112">
        <f t="shared" si="4"/>
        <v>5</v>
      </c>
      <c r="H21" s="112">
        <f t="shared" si="4"/>
        <v>-45</v>
      </c>
      <c r="I21" s="112">
        <f t="shared" si="4"/>
        <v>-45</v>
      </c>
      <c r="J21" s="112">
        <f t="shared" si="4"/>
        <v>-45</v>
      </c>
      <c r="K21" s="112">
        <f t="shared" si="4"/>
        <v>195</v>
      </c>
      <c r="L21" s="112">
        <f t="shared" si="4"/>
        <v>-45</v>
      </c>
    </row>
    <row r="22" spans="1:17" x14ac:dyDescent="0.25">
      <c r="A22" s="103"/>
      <c r="B22" s="97"/>
    </row>
    <row r="23" spans="1:17" x14ac:dyDescent="0.25">
      <c r="O23" s="99" t="s">
        <v>176</v>
      </c>
    </row>
    <row r="24" spans="1:17" ht="15.75" thickBot="1" x14ac:dyDescent="0.3">
      <c r="A24" s="114" t="s">
        <v>160</v>
      </c>
      <c r="H24" s="97"/>
      <c r="I24" s="97"/>
      <c r="J24" s="97"/>
    </row>
    <row r="25" spans="1:17" ht="15.75" thickBot="1" x14ac:dyDescent="0.3">
      <c r="A25" s="121" t="s">
        <v>168</v>
      </c>
      <c r="B25" s="75" t="s">
        <v>167</v>
      </c>
      <c r="C25" s="159" t="s">
        <v>169</v>
      </c>
      <c r="D25" s="160"/>
      <c r="E25" s="160"/>
      <c r="F25" s="160"/>
      <c r="G25" s="160"/>
      <c r="H25" s="160"/>
      <c r="I25" s="160"/>
      <c r="J25" s="160"/>
      <c r="K25" s="160"/>
      <c r="L25" s="161"/>
      <c r="M25" s="129" t="s">
        <v>171</v>
      </c>
      <c r="N25" s="115" t="s">
        <v>172</v>
      </c>
      <c r="O25" s="129" t="s">
        <v>213</v>
      </c>
      <c r="P25" s="154" t="s">
        <v>203</v>
      </c>
      <c r="Q25" s="155"/>
    </row>
    <row r="26" spans="1:17" ht="15.75" thickBot="1" x14ac:dyDescent="0.3">
      <c r="A26" s="3" t="s">
        <v>22</v>
      </c>
      <c r="B26" s="120" t="s">
        <v>166</v>
      </c>
      <c r="C26" s="91" t="s">
        <v>8</v>
      </c>
      <c r="D26" s="92" t="s">
        <v>9</v>
      </c>
      <c r="E26" s="92" t="s">
        <v>10</v>
      </c>
      <c r="F26" s="92" t="s">
        <v>137</v>
      </c>
      <c r="G26" s="92" t="s">
        <v>11</v>
      </c>
      <c r="H26" s="92" t="s">
        <v>138</v>
      </c>
      <c r="I26" s="92" t="s">
        <v>139</v>
      </c>
      <c r="J26" s="92" t="s">
        <v>12</v>
      </c>
      <c r="K26" s="92" t="s">
        <v>13</v>
      </c>
      <c r="L26" s="93" t="s">
        <v>105</v>
      </c>
      <c r="M26" s="130" t="s">
        <v>175</v>
      </c>
      <c r="N26" s="118" t="s">
        <v>177</v>
      </c>
      <c r="O26" s="130" t="s">
        <v>214</v>
      </c>
      <c r="P26" s="147" t="s">
        <v>204</v>
      </c>
      <c r="Q26" s="148" t="s">
        <v>205</v>
      </c>
    </row>
    <row r="27" spans="1:17" x14ac:dyDescent="0.25">
      <c r="A27" t="s">
        <v>0</v>
      </c>
      <c r="B27" s="115">
        <v>15</v>
      </c>
      <c r="C27" s="15"/>
      <c r="D27" s="15"/>
      <c r="E27" s="15"/>
      <c r="F27" s="15"/>
      <c r="G27" s="15"/>
      <c r="H27" s="15"/>
      <c r="I27" s="15">
        <f>TRUNC(90*Q27*(1-L7)*(1-N27))</f>
        <v>0</v>
      </c>
      <c r="J27" s="15"/>
      <c r="K27" s="15"/>
      <c r="L27" s="16">
        <f>TRUNC(120*Q27*(1-L7)*(1-N27))</f>
        <v>0</v>
      </c>
      <c r="M27" s="126" t="s">
        <v>173</v>
      </c>
      <c r="N27" s="123">
        <v>0</v>
      </c>
      <c r="O27" s="149">
        <f>IF(E$6="Archipel de l'Automne",60000*Q27*(1-L$7)*(1-N27),30000*Q27*(1-L$7)*(1-N27))</f>
        <v>0</v>
      </c>
      <c r="P27" s="143">
        <f>IF(OR(M27="Possédée",M27="Assiégée"),B27,0)</f>
        <v>0</v>
      </c>
      <c r="Q27" s="144">
        <f>IF(M27="Possédée",1,IF(M27="Assiégée",0.5,0))</f>
        <v>0</v>
      </c>
    </row>
    <row r="28" spans="1:17" x14ac:dyDescent="0.25">
      <c r="A28" t="s">
        <v>1</v>
      </c>
      <c r="B28" s="116">
        <v>15</v>
      </c>
      <c r="C28" s="17"/>
      <c r="D28" s="17"/>
      <c r="E28" s="17"/>
      <c r="F28" s="17"/>
      <c r="G28" s="17">
        <f>TRUNC(30*Q28*(1-L7)*(1-N28))</f>
        <v>0</v>
      </c>
      <c r="H28" s="17"/>
      <c r="I28" s="17"/>
      <c r="J28" s="17"/>
      <c r="K28" s="17"/>
      <c r="L28" s="18">
        <f>TRUNC(140*Q28*(1-L7)*(1-N28))</f>
        <v>0</v>
      </c>
      <c r="M28" s="127" t="s">
        <v>173</v>
      </c>
      <c r="N28" s="124">
        <v>0</v>
      </c>
      <c r="O28" s="150">
        <f>30000*Q28*(1-L$7)*(1-N28)</f>
        <v>0</v>
      </c>
      <c r="P28" s="145">
        <f>IF(OR(M28="Possédée",M28="Assiégée"),B28,0)</f>
        <v>0</v>
      </c>
      <c r="Q28" s="146">
        <f t="shared" ref="Q28:Q91" si="5">IF(M28="Possédée",1,IF(M28="Assiégée",0.5,0))</f>
        <v>0</v>
      </c>
    </row>
    <row r="29" spans="1:17" x14ac:dyDescent="0.25">
      <c r="A29" t="s">
        <v>2</v>
      </c>
      <c r="B29" s="116">
        <v>15</v>
      </c>
      <c r="C29" s="17">
        <f>TRUNC(60*Q29*(1-L7)*(1-N29))</f>
        <v>0</v>
      </c>
      <c r="D29" s="17"/>
      <c r="E29" s="17"/>
      <c r="F29" s="17"/>
      <c r="G29" s="17"/>
      <c r="H29" s="17"/>
      <c r="I29" s="17">
        <f>TRUNC(110*Q29*(1-L7)*(1-N29))</f>
        <v>0</v>
      </c>
      <c r="J29" s="17"/>
      <c r="K29" s="17"/>
      <c r="L29" s="18"/>
      <c r="M29" s="127" t="s">
        <v>173</v>
      </c>
      <c r="N29" s="124">
        <v>0</v>
      </c>
      <c r="O29" s="150">
        <f t="shared" ref="O29:O34" si="6">30000*Q29*(1-L$7)*(1-N29)</f>
        <v>0</v>
      </c>
      <c r="P29" s="145">
        <f t="shared" ref="P29:P92" si="7">IF(OR(M29="Possédée",M29="Assiégée"),B29,0)</f>
        <v>0</v>
      </c>
      <c r="Q29" s="146">
        <f t="shared" si="5"/>
        <v>0</v>
      </c>
    </row>
    <row r="30" spans="1:17" x14ac:dyDescent="0.25">
      <c r="A30" t="s">
        <v>3</v>
      </c>
      <c r="B30" s="116">
        <v>15</v>
      </c>
      <c r="C30" s="17">
        <f>TRUNC(40*Q30*(1-L7)*(1-N30))</f>
        <v>0</v>
      </c>
      <c r="D30" s="17"/>
      <c r="E30" s="17"/>
      <c r="F30" s="17"/>
      <c r="G30" s="17"/>
      <c r="H30" s="17"/>
      <c r="I30" s="17">
        <f>TRUNC(60*Q30*(1-L7)*(1-N30))</f>
        <v>0</v>
      </c>
      <c r="J30" s="17"/>
      <c r="K30" s="17">
        <f>TRUNC(70*Q30*(1-L7)*(1-N30))</f>
        <v>0</v>
      </c>
      <c r="L30" s="18"/>
      <c r="M30" s="127" t="s">
        <v>173</v>
      </c>
      <c r="N30" s="124">
        <v>0</v>
      </c>
      <c r="O30" s="150">
        <f t="shared" si="6"/>
        <v>0</v>
      </c>
      <c r="P30" s="145">
        <f t="shared" si="7"/>
        <v>0</v>
      </c>
      <c r="Q30" s="146">
        <f t="shared" si="5"/>
        <v>0</v>
      </c>
    </row>
    <row r="31" spans="1:17" x14ac:dyDescent="0.25">
      <c r="A31" t="s">
        <v>4</v>
      </c>
      <c r="B31" s="116">
        <v>15</v>
      </c>
      <c r="C31" s="17"/>
      <c r="D31" s="17"/>
      <c r="E31" s="17"/>
      <c r="F31" s="17"/>
      <c r="G31" s="17"/>
      <c r="H31" s="17"/>
      <c r="I31" s="17">
        <f>TRUNC(80*Q31*(1-L7)*(1-N31))</f>
        <v>0</v>
      </c>
      <c r="J31" s="17"/>
      <c r="K31" s="17"/>
      <c r="L31" s="18">
        <f>TRUNC(90*Q31*(1-L7)*(1-N31))</f>
        <v>0</v>
      </c>
      <c r="M31" s="127" t="s">
        <v>173</v>
      </c>
      <c r="N31" s="124">
        <v>0</v>
      </c>
      <c r="O31" s="150">
        <f t="shared" si="6"/>
        <v>0</v>
      </c>
      <c r="P31" s="145">
        <f t="shared" si="7"/>
        <v>0</v>
      </c>
      <c r="Q31" s="146">
        <f t="shared" si="5"/>
        <v>0</v>
      </c>
    </row>
    <row r="32" spans="1:17" x14ac:dyDescent="0.25">
      <c r="A32" t="s">
        <v>5</v>
      </c>
      <c r="B32" s="116">
        <v>15</v>
      </c>
      <c r="C32" s="17"/>
      <c r="D32" s="17"/>
      <c r="E32" s="17"/>
      <c r="F32" s="17"/>
      <c r="G32" s="17"/>
      <c r="H32" s="17"/>
      <c r="I32" s="17"/>
      <c r="J32" s="17"/>
      <c r="K32" s="17">
        <f>TRUNC(170*Q32*(1-L7)*(1-N32))</f>
        <v>0</v>
      </c>
      <c r="L32" s="18"/>
      <c r="M32" s="127" t="s">
        <v>173</v>
      </c>
      <c r="N32" s="124">
        <v>0</v>
      </c>
      <c r="O32" s="150">
        <f t="shared" si="6"/>
        <v>0</v>
      </c>
      <c r="P32" s="145">
        <f t="shared" si="7"/>
        <v>0</v>
      </c>
      <c r="Q32" s="146">
        <f t="shared" si="5"/>
        <v>0</v>
      </c>
    </row>
    <row r="33" spans="1:17" x14ac:dyDescent="0.25">
      <c r="A33" t="s">
        <v>6</v>
      </c>
      <c r="B33" s="116">
        <v>15</v>
      </c>
      <c r="C33" s="17">
        <f>TRUNC(40*Q33*(1-L7)*(1-N33))</f>
        <v>0</v>
      </c>
      <c r="D33" s="17"/>
      <c r="E33" s="17"/>
      <c r="F33" s="17">
        <f>TRUNC(130*Q33*(1-L7)*(1-N33))</f>
        <v>0</v>
      </c>
      <c r="G33" s="17"/>
      <c r="H33" s="17"/>
      <c r="I33" s="17"/>
      <c r="J33" s="17"/>
      <c r="K33" s="17"/>
      <c r="L33" s="18"/>
      <c r="M33" s="127" t="s">
        <v>173</v>
      </c>
      <c r="N33" s="124">
        <v>0</v>
      </c>
      <c r="O33" s="150">
        <f t="shared" si="6"/>
        <v>0</v>
      </c>
      <c r="P33" s="145">
        <f t="shared" si="7"/>
        <v>0</v>
      </c>
      <c r="Q33" s="146">
        <f t="shared" si="5"/>
        <v>0</v>
      </c>
    </row>
    <row r="34" spans="1:17" ht="15.75" thickBot="1" x14ac:dyDescent="0.3">
      <c r="A34" t="s">
        <v>7</v>
      </c>
      <c r="B34" s="116">
        <v>15</v>
      </c>
      <c r="C34" s="17"/>
      <c r="D34" s="17">
        <f>TRUNC(70*Q34*(1-L7)*(1-N34))</f>
        <v>0</v>
      </c>
      <c r="E34" s="17"/>
      <c r="F34" s="17"/>
      <c r="G34" s="17"/>
      <c r="H34" s="17"/>
      <c r="I34" s="17"/>
      <c r="J34" s="17"/>
      <c r="K34" s="17"/>
      <c r="L34" s="18">
        <f>TRUNC(100*Q34*(1-L7)*(1-N34))</f>
        <v>0</v>
      </c>
      <c r="M34" s="127" t="s">
        <v>173</v>
      </c>
      <c r="N34" s="124">
        <v>0</v>
      </c>
      <c r="O34" s="150">
        <f t="shared" si="6"/>
        <v>0</v>
      </c>
      <c r="P34" s="145">
        <f>IF(OR(M34="Possédée",M34="Assiégée"),B34,0)</f>
        <v>0</v>
      </c>
      <c r="Q34" s="146">
        <f t="shared" si="5"/>
        <v>0</v>
      </c>
    </row>
    <row r="35" spans="1:17" ht="15.75" thickBot="1" x14ac:dyDescent="0.3">
      <c r="A35" s="10" t="s">
        <v>23</v>
      </c>
      <c r="B35" s="117" t="s">
        <v>166</v>
      </c>
      <c r="C35" s="91" t="s">
        <v>8</v>
      </c>
      <c r="D35" s="92" t="s">
        <v>9</v>
      </c>
      <c r="E35" s="92" t="s">
        <v>10</v>
      </c>
      <c r="F35" s="92" t="s">
        <v>137</v>
      </c>
      <c r="G35" s="92" t="s">
        <v>11</v>
      </c>
      <c r="H35" s="92" t="s">
        <v>138</v>
      </c>
      <c r="I35" s="92" t="s">
        <v>139</v>
      </c>
      <c r="J35" s="92" t="s">
        <v>12</v>
      </c>
      <c r="K35" s="92" t="s">
        <v>13</v>
      </c>
      <c r="L35" s="93" t="s">
        <v>105</v>
      </c>
      <c r="M35" s="93"/>
      <c r="N35" s="93"/>
      <c r="O35" s="151"/>
      <c r="P35" s="147"/>
      <c r="Q35" s="148"/>
    </row>
    <row r="36" spans="1:17" x14ac:dyDescent="0.25">
      <c r="A36" t="s">
        <v>14</v>
      </c>
      <c r="B36" s="115">
        <v>15</v>
      </c>
      <c r="C36" s="19"/>
      <c r="D36" s="17"/>
      <c r="E36" s="17">
        <f>TRUNC(60*Q36*(1-L7)*(1-N36))</f>
        <v>0</v>
      </c>
      <c r="F36" s="17"/>
      <c r="G36" s="17">
        <f>TRUNC(150*Q36*(1-L7)*(1-N36))</f>
        <v>0</v>
      </c>
      <c r="H36" s="17"/>
      <c r="I36" s="17"/>
      <c r="J36" s="17"/>
      <c r="K36" s="17"/>
      <c r="L36" s="18"/>
      <c r="M36" s="127" t="s">
        <v>173</v>
      </c>
      <c r="N36" s="124">
        <v>0</v>
      </c>
      <c r="O36" s="149">
        <f>IF(E$6="Bordeciel",60000*Q36*(1-L$7)*(1-N36),30000*Q36*(1-L$7)*(1-N36))</f>
        <v>0</v>
      </c>
      <c r="P36" s="145">
        <f t="shared" si="7"/>
        <v>0</v>
      </c>
      <c r="Q36" s="146">
        <f t="shared" si="5"/>
        <v>0</v>
      </c>
    </row>
    <row r="37" spans="1:17" x14ac:dyDescent="0.25">
      <c r="A37" t="s">
        <v>15</v>
      </c>
      <c r="B37" s="116">
        <v>15</v>
      </c>
      <c r="C37" s="19"/>
      <c r="D37" s="17"/>
      <c r="E37" s="17"/>
      <c r="F37" s="17"/>
      <c r="G37" s="17"/>
      <c r="H37" s="17"/>
      <c r="I37" s="17"/>
      <c r="J37" s="17"/>
      <c r="K37" s="17">
        <f>TRUNC(170*Q37*(1-L7)*(1-N37))</f>
        <v>0</v>
      </c>
      <c r="L37" s="18"/>
      <c r="M37" s="127" t="s">
        <v>173</v>
      </c>
      <c r="N37" s="124">
        <v>0</v>
      </c>
      <c r="O37" s="150">
        <f>30000*Q37*(1-L$7)*(1-N37)</f>
        <v>0</v>
      </c>
      <c r="P37" s="145">
        <f t="shared" si="7"/>
        <v>0</v>
      </c>
      <c r="Q37" s="146">
        <f t="shared" si="5"/>
        <v>0</v>
      </c>
    </row>
    <row r="38" spans="1:17" x14ac:dyDescent="0.25">
      <c r="A38" t="s">
        <v>16</v>
      </c>
      <c r="B38" s="116">
        <v>15</v>
      </c>
      <c r="C38" s="19"/>
      <c r="D38" s="17">
        <f>TRUNC(130*Q38*(1-L7)*(1-N38))</f>
        <v>0</v>
      </c>
      <c r="E38" s="17"/>
      <c r="F38" s="17"/>
      <c r="G38" s="17">
        <f>TRUNC(40*Q38*(1-L7)*(1-N38))</f>
        <v>0</v>
      </c>
      <c r="H38" s="17"/>
      <c r="I38" s="17"/>
      <c r="J38" s="17"/>
      <c r="K38" s="17"/>
      <c r="L38" s="18"/>
      <c r="M38" s="127" t="s">
        <v>173</v>
      </c>
      <c r="N38" s="124">
        <v>0</v>
      </c>
      <c r="O38" s="150">
        <f t="shared" ref="O38:O43" si="8">30000*Q38*(1-L$7)*(1-N38)</f>
        <v>0</v>
      </c>
      <c r="P38" s="145">
        <f t="shared" si="7"/>
        <v>0</v>
      </c>
      <c r="Q38" s="146">
        <f t="shared" si="5"/>
        <v>0</v>
      </c>
    </row>
    <row r="39" spans="1:17" x14ac:dyDescent="0.25">
      <c r="A39" t="s">
        <v>17</v>
      </c>
      <c r="B39" s="116">
        <v>15</v>
      </c>
      <c r="C39" s="19">
        <f>TRUNC(70*Q39*(1-L7)*(1-N39))</f>
        <v>0</v>
      </c>
      <c r="D39" s="17">
        <f>TRUNC(60*Q39*(1-L7)*(1-N39))</f>
        <v>0</v>
      </c>
      <c r="E39" s="17">
        <f>TRUNC(40*Q39*(1-L7)*(1-N39))</f>
        <v>0</v>
      </c>
      <c r="F39" s="17"/>
      <c r="G39" s="17"/>
      <c r="H39" s="17"/>
      <c r="I39" s="17"/>
      <c r="J39" s="17"/>
      <c r="K39" s="17"/>
      <c r="L39" s="18"/>
      <c r="M39" s="127" t="s">
        <v>173</v>
      </c>
      <c r="N39" s="124">
        <v>0</v>
      </c>
      <c r="O39" s="150">
        <f t="shared" si="8"/>
        <v>0</v>
      </c>
      <c r="P39" s="145">
        <f t="shared" si="7"/>
        <v>0</v>
      </c>
      <c r="Q39" s="146">
        <f t="shared" si="5"/>
        <v>0</v>
      </c>
    </row>
    <row r="40" spans="1:17" x14ac:dyDescent="0.25">
      <c r="A40" t="s">
        <v>18</v>
      </c>
      <c r="B40" s="116">
        <v>15</v>
      </c>
      <c r="C40" s="19"/>
      <c r="D40" s="17">
        <f>TRUNC(20*Q40*(1-L7)*(1-N40))</f>
        <v>0</v>
      </c>
      <c r="E40" s="17"/>
      <c r="F40" s="17">
        <f>TRUNC(100*Q40*(1-L7)*(1-N40))</f>
        <v>0</v>
      </c>
      <c r="G40" s="17">
        <f>TRUNC(50*Q40*(1-L7)*(1-N40))</f>
        <v>0</v>
      </c>
      <c r="H40" s="17"/>
      <c r="I40" s="17"/>
      <c r="J40" s="17"/>
      <c r="K40" s="17"/>
      <c r="L40" s="18"/>
      <c r="M40" s="127" t="s">
        <v>173</v>
      </c>
      <c r="N40" s="124">
        <v>0</v>
      </c>
      <c r="O40" s="150">
        <f t="shared" si="8"/>
        <v>0</v>
      </c>
      <c r="P40" s="145">
        <f t="shared" si="7"/>
        <v>0</v>
      </c>
      <c r="Q40" s="146">
        <f t="shared" si="5"/>
        <v>0</v>
      </c>
    </row>
    <row r="41" spans="1:17" x14ac:dyDescent="0.25">
      <c r="A41" t="s">
        <v>19</v>
      </c>
      <c r="B41" s="116">
        <v>15</v>
      </c>
      <c r="C41" s="19"/>
      <c r="D41" s="17"/>
      <c r="E41" s="17"/>
      <c r="F41" s="17"/>
      <c r="G41" s="17">
        <f>TRUNC(170*Q41*(1-L7)*(1-N41))</f>
        <v>0</v>
      </c>
      <c r="H41" s="17"/>
      <c r="I41" s="17"/>
      <c r="J41" s="17"/>
      <c r="K41" s="17"/>
      <c r="L41" s="18"/>
      <c r="M41" s="127" t="s">
        <v>173</v>
      </c>
      <c r="N41" s="124">
        <v>0</v>
      </c>
      <c r="O41" s="150">
        <f t="shared" si="8"/>
        <v>0</v>
      </c>
      <c r="P41" s="145">
        <f t="shared" si="7"/>
        <v>0</v>
      </c>
      <c r="Q41" s="146">
        <f t="shared" si="5"/>
        <v>0</v>
      </c>
    </row>
    <row r="42" spans="1:17" x14ac:dyDescent="0.25">
      <c r="A42" t="s">
        <v>20</v>
      </c>
      <c r="B42" s="116">
        <v>15</v>
      </c>
      <c r="C42" s="19"/>
      <c r="D42" s="17"/>
      <c r="E42" s="17">
        <f>TRUNC(90*Q42*(1-L7)*(1-N42))</f>
        <v>0</v>
      </c>
      <c r="F42" s="17">
        <f>TRUNC(40*Q42*(1-L7)*(1-N42))</f>
        <v>0</v>
      </c>
      <c r="G42" s="17"/>
      <c r="H42" s="17"/>
      <c r="I42" s="17"/>
      <c r="J42" s="17"/>
      <c r="K42" s="17">
        <f>TRUNC(40*Q42*(1-L7)*(1-N42))</f>
        <v>0</v>
      </c>
      <c r="L42" s="18"/>
      <c r="M42" s="127" t="s">
        <v>173</v>
      </c>
      <c r="N42" s="124">
        <v>0</v>
      </c>
      <c r="O42" s="150">
        <f t="shared" si="8"/>
        <v>0</v>
      </c>
      <c r="P42" s="145">
        <f t="shared" si="7"/>
        <v>0</v>
      </c>
      <c r="Q42" s="146">
        <f t="shared" si="5"/>
        <v>0</v>
      </c>
    </row>
    <row r="43" spans="1:17" ht="15.75" thickBot="1" x14ac:dyDescent="0.3">
      <c r="A43" t="s">
        <v>21</v>
      </c>
      <c r="B43" s="116">
        <v>15</v>
      </c>
      <c r="C43" s="19"/>
      <c r="D43" s="17"/>
      <c r="E43" s="17"/>
      <c r="F43" s="17"/>
      <c r="G43" s="17">
        <f>TRUNC(70*Q43*(1-L7)*(1-N43))</f>
        <v>0</v>
      </c>
      <c r="H43" s="17"/>
      <c r="I43" s="17"/>
      <c r="J43" s="17"/>
      <c r="K43" s="17">
        <f>TRUNC(100*Q43*(1-L7)*(1-N43))</f>
        <v>0</v>
      </c>
      <c r="L43" s="18"/>
      <c r="M43" s="127" t="s">
        <v>173</v>
      </c>
      <c r="N43" s="124">
        <v>0</v>
      </c>
      <c r="O43" s="150">
        <f t="shared" si="8"/>
        <v>0</v>
      </c>
      <c r="P43" s="145">
        <f t="shared" si="7"/>
        <v>0</v>
      </c>
      <c r="Q43" s="146">
        <f t="shared" si="5"/>
        <v>0</v>
      </c>
    </row>
    <row r="44" spans="1:17" ht="15.75" thickBot="1" x14ac:dyDescent="0.3">
      <c r="A44" s="3" t="s">
        <v>24</v>
      </c>
      <c r="B44" s="117" t="s">
        <v>166</v>
      </c>
      <c r="C44" s="91" t="s">
        <v>8</v>
      </c>
      <c r="D44" s="92" t="s">
        <v>9</v>
      </c>
      <c r="E44" s="92" t="s">
        <v>10</v>
      </c>
      <c r="F44" s="92" t="s">
        <v>137</v>
      </c>
      <c r="G44" s="92" t="s">
        <v>11</v>
      </c>
      <c r="H44" s="92" t="s">
        <v>138</v>
      </c>
      <c r="I44" s="92" t="s">
        <v>139</v>
      </c>
      <c r="J44" s="92" t="s">
        <v>12</v>
      </c>
      <c r="K44" s="92" t="s">
        <v>13</v>
      </c>
      <c r="L44" s="93" t="s">
        <v>105</v>
      </c>
      <c r="M44" s="93"/>
      <c r="N44" s="93"/>
      <c r="O44" s="151"/>
      <c r="P44" s="147"/>
      <c r="Q44" s="148"/>
    </row>
    <row r="45" spans="1:17" x14ac:dyDescent="0.25">
      <c r="A45" t="s">
        <v>25</v>
      </c>
      <c r="B45" s="115">
        <v>15</v>
      </c>
      <c r="C45" s="15"/>
      <c r="D45" s="15">
        <f>TRUNC(20*Q45*(1-L7)*(1-N45))</f>
        <v>0</v>
      </c>
      <c r="E45" s="15"/>
      <c r="F45" s="15"/>
      <c r="G45" s="15"/>
      <c r="H45" s="15"/>
      <c r="I45" s="15">
        <f>TRUNC(150*Q45*(1-L7)*(1-N45))</f>
        <v>0</v>
      </c>
      <c r="J45" s="15"/>
      <c r="K45" s="15"/>
      <c r="L45" s="16">
        <f>TRUNC(40*Q45*(1-L7)*(1-N45))</f>
        <v>0</v>
      </c>
      <c r="M45" s="127" t="s">
        <v>173</v>
      </c>
      <c r="N45" s="124">
        <v>0</v>
      </c>
      <c r="O45" s="149">
        <f>IF(E$6="Cyrodiil",60000*Q45*(1-L$7)*(1-N45),30000*Q45*(1-L$7)*(1-N45))</f>
        <v>0</v>
      </c>
      <c r="P45" s="145">
        <f t="shared" si="7"/>
        <v>0</v>
      </c>
      <c r="Q45" s="146">
        <f t="shared" si="5"/>
        <v>0</v>
      </c>
    </row>
    <row r="46" spans="1:17" x14ac:dyDescent="0.25">
      <c r="A46" t="s">
        <v>27</v>
      </c>
      <c r="B46" s="116">
        <v>15</v>
      </c>
      <c r="C46" s="17"/>
      <c r="D46" s="17">
        <f>TRUNC(120*Q46*(1-L7)*(1-N46))</f>
        <v>0</v>
      </c>
      <c r="E46" s="17">
        <f>TRUNC(50*Q46*(1-L7)*(1-N46))</f>
        <v>0</v>
      </c>
      <c r="F46" s="17"/>
      <c r="G46" s="17"/>
      <c r="H46" s="17"/>
      <c r="I46" s="17"/>
      <c r="J46" s="17"/>
      <c r="K46" s="17"/>
      <c r="L46" s="18"/>
      <c r="M46" s="127" t="s">
        <v>173</v>
      </c>
      <c r="N46" s="124">
        <v>0</v>
      </c>
      <c r="O46" s="150">
        <f>30000*Q46*(1-L$7)*(1-N46)</f>
        <v>0</v>
      </c>
      <c r="P46" s="145">
        <f t="shared" si="7"/>
        <v>0</v>
      </c>
      <c r="Q46" s="146">
        <f t="shared" si="5"/>
        <v>0</v>
      </c>
    </row>
    <row r="47" spans="1:17" x14ac:dyDescent="0.25">
      <c r="A47" t="s">
        <v>26</v>
      </c>
      <c r="B47" s="116">
        <v>15</v>
      </c>
      <c r="C47" s="17"/>
      <c r="D47" s="17">
        <f>TRUNC(60*Q47*(1-L7)*(1-N47))</f>
        <v>0</v>
      </c>
      <c r="E47" s="17">
        <f>TRUNC(110*Q47*(1-L7)*(1-N47))</f>
        <v>0</v>
      </c>
      <c r="F47" s="17"/>
      <c r="G47" s="17"/>
      <c r="H47" s="17"/>
      <c r="I47" s="17"/>
      <c r="J47" s="17"/>
      <c r="K47" s="17"/>
      <c r="L47" s="18"/>
      <c r="M47" s="127" t="s">
        <v>173</v>
      </c>
      <c r="N47" s="124">
        <v>0</v>
      </c>
      <c r="O47" s="150">
        <f>30000*Q47*(1-L$7)*(1-N47)</f>
        <v>0</v>
      </c>
      <c r="P47" s="145">
        <f t="shared" si="7"/>
        <v>0</v>
      </c>
      <c r="Q47" s="146">
        <f t="shared" si="5"/>
        <v>0</v>
      </c>
    </row>
    <row r="48" spans="1:17" x14ac:dyDescent="0.25">
      <c r="A48" t="s">
        <v>28</v>
      </c>
      <c r="B48" s="116">
        <v>15</v>
      </c>
      <c r="C48" s="17"/>
      <c r="D48" s="17">
        <f>TRUNC(170*Q48*(1-L7)*(1-N48))</f>
        <v>0</v>
      </c>
      <c r="E48" s="17"/>
      <c r="F48" s="17"/>
      <c r="G48" s="17"/>
      <c r="H48" s="17"/>
      <c r="I48" s="17"/>
      <c r="J48" s="17"/>
      <c r="K48" s="17"/>
      <c r="L48" s="18"/>
      <c r="M48" s="127" t="s">
        <v>173</v>
      </c>
      <c r="N48" s="124">
        <v>0</v>
      </c>
      <c r="O48" s="150">
        <f t="shared" ref="O48:O53" si="9">30000*Q48*(1-L$7)*(1-N48)</f>
        <v>0</v>
      </c>
      <c r="P48" s="145">
        <f t="shared" si="7"/>
        <v>0</v>
      </c>
      <c r="Q48" s="146">
        <f t="shared" si="5"/>
        <v>0</v>
      </c>
    </row>
    <row r="49" spans="1:17" x14ac:dyDescent="0.25">
      <c r="A49" t="s">
        <v>29</v>
      </c>
      <c r="B49" s="116">
        <v>15</v>
      </c>
      <c r="C49" s="17"/>
      <c r="D49" s="17"/>
      <c r="E49" s="17"/>
      <c r="F49" s="17"/>
      <c r="G49" s="17"/>
      <c r="H49" s="17"/>
      <c r="I49" s="17"/>
      <c r="J49" s="17">
        <f>TRUNC(170*Q49*(1-L7)*(1-N49))</f>
        <v>0</v>
      </c>
      <c r="K49" s="17"/>
      <c r="L49" s="18"/>
      <c r="M49" s="127" t="s">
        <v>173</v>
      </c>
      <c r="N49" s="124">
        <v>0</v>
      </c>
      <c r="O49" s="150">
        <f t="shared" si="9"/>
        <v>0</v>
      </c>
      <c r="P49" s="145">
        <f t="shared" si="7"/>
        <v>0</v>
      </c>
      <c r="Q49" s="146">
        <f t="shared" si="5"/>
        <v>0</v>
      </c>
    </row>
    <row r="50" spans="1:17" x14ac:dyDescent="0.25">
      <c r="A50" t="s">
        <v>58</v>
      </c>
      <c r="B50" s="116">
        <v>15</v>
      </c>
      <c r="C50" s="17">
        <f>TRUNC(170*Q50*(1-L7)*(1-N50))</f>
        <v>0</v>
      </c>
      <c r="D50" s="17"/>
      <c r="E50" s="17"/>
      <c r="F50" s="17"/>
      <c r="G50" s="17"/>
      <c r="H50" s="17"/>
      <c r="I50" s="17"/>
      <c r="J50" s="17"/>
      <c r="K50" s="17"/>
      <c r="L50" s="18"/>
      <c r="M50" s="127" t="s">
        <v>173</v>
      </c>
      <c r="N50" s="124">
        <v>0</v>
      </c>
      <c r="O50" s="150">
        <f t="shared" si="9"/>
        <v>0</v>
      </c>
      <c r="P50" s="145">
        <f t="shared" si="7"/>
        <v>0</v>
      </c>
      <c r="Q50" s="146">
        <f t="shared" si="5"/>
        <v>0</v>
      </c>
    </row>
    <row r="51" spans="1:17" x14ac:dyDescent="0.25">
      <c r="A51" t="s">
        <v>30</v>
      </c>
      <c r="B51" s="116">
        <v>15</v>
      </c>
      <c r="C51" s="17">
        <f>TRUNC(100*Q51*(1-L7)*(1-N51))</f>
        <v>0</v>
      </c>
      <c r="D51" s="17"/>
      <c r="E51" s="17"/>
      <c r="F51" s="17"/>
      <c r="G51" s="17"/>
      <c r="H51" s="17"/>
      <c r="I51" s="17"/>
      <c r="J51" s="17">
        <f>TRUNC(70*Q51*(1-L7)*(1-N51))</f>
        <v>0</v>
      </c>
      <c r="K51" s="17"/>
      <c r="L51" s="18"/>
      <c r="M51" s="127" t="s">
        <v>173</v>
      </c>
      <c r="N51" s="124">
        <v>0</v>
      </c>
      <c r="O51" s="150">
        <f t="shared" si="9"/>
        <v>0</v>
      </c>
      <c r="P51" s="145">
        <f t="shared" si="7"/>
        <v>0</v>
      </c>
      <c r="Q51" s="146">
        <f t="shared" si="5"/>
        <v>0</v>
      </c>
    </row>
    <row r="52" spans="1:17" x14ac:dyDescent="0.25">
      <c r="A52" t="s">
        <v>31</v>
      </c>
      <c r="B52" s="116">
        <v>15</v>
      </c>
      <c r="C52" s="17">
        <f>TRUNC(90*Q52*(1-L7)*(1-N52))</f>
        <v>0</v>
      </c>
      <c r="D52" s="17"/>
      <c r="E52" s="17">
        <f>TRUNC(40*Q52*(1-L7)*(1-N52))</f>
        <v>0</v>
      </c>
      <c r="F52" s="17">
        <f>TRUNC(40*Q52*(1-L7)*(1-N52))</f>
        <v>0</v>
      </c>
      <c r="G52" s="17"/>
      <c r="H52" s="17"/>
      <c r="I52" s="17"/>
      <c r="J52" s="17"/>
      <c r="K52" s="17"/>
      <c r="L52" s="18"/>
      <c r="M52" s="127" t="s">
        <v>173</v>
      </c>
      <c r="N52" s="124">
        <v>0</v>
      </c>
      <c r="O52" s="150">
        <f t="shared" si="9"/>
        <v>0</v>
      </c>
      <c r="P52" s="145">
        <f t="shared" si="7"/>
        <v>0</v>
      </c>
      <c r="Q52" s="146">
        <f t="shared" si="5"/>
        <v>0</v>
      </c>
    </row>
    <row r="53" spans="1:17" ht="15.75" thickBot="1" x14ac:dyDescent="0.3">
      <c r="A53" t="s">
        <v>32</v>
      </c>
      <c r="B53" s="118">
        <v>15</v>
      </c>
      <c r="C53" s="20">
        <f>TRUNC(110*Q53*(1-L7)*(1-N53))</f>
        <v>0</v>
      </c>
      <c r="D53" s="21"/>
      <c r="E53" s="21"/>
      <c r="F53" s="21"/>
      <c r="G53" s="21"/>
      <c r="H53" s="21">
        <f>TRUNC(60*Q53*(1-L7)*(1-N53))</f>
        <v>0</v>
      </c>
      <c r="I53" s="21"/>
      <c r="J53" s="21"/>
      <c r="K53" s="21"/>
      <c r="L53" s="22"/>
      <c r="M53" s="127" t="s">
        <v>173</v>
      </c>
      <c r="N53" s="124">
        <v>0</v>
      </c>
      <c r="O53" s="150">
        <f t="shared" si="9"/>
        <v>0</v>
      </c>
      <c r="P53" s="145">
        <f t="shared" si="7"/>
        <v>0</v>
      </c>
      <c r="Q53" s="146">
        <f t="shared" si="5"/>
        <v>0</v>
      </c>
    </row>
    <row r="54" spans="1:17" ht="15.75" thickBot="1" x14ac:dyDescent="0.3">
      <c r="A54" s="3" t="s">
        <v>33</v>
      </c>
      <c r="B54" s="117" t="s">
        <v>166</v>
      </c>
      <c r="C54" s="91" t="s">
        <v>8</v>
      </c>
      <c r="D54" s="92" t="s">
        <v>9</v>
      </c>
      <c r="E54" s="92" t="s">
        <v>10</v>
      </c>
      <c r="F54" s="92" t="s">
        <v>137</v>
      </c>
      <c r="G54" s="92" t="s">
        <v>11</v>
      </c>
      <c r="H54" s="92" t="s">
        <v>138</v>
      </c>
      <c r="I54" s="92" t="s">
        <v>139</v>
      </c>
      <c r="J54" s="92" t="s">
        <v>12</v>
      </c>
      <c r="K54" s="92" t="s">
        <v>13</v>
      </c>
      <c r="L54" s="93" t="s">
        <v>105</v>
      </c>
      <c r="M54" s="93"/>
      <c r="N54" s="93"/>
      <c r="O54" s="151"/>
      <c r="P54" s="147"/>
      <c r="Q54" s="148"/>
    </row>
    <row r="55" spans="1:17" x14ac:dyDescent="0.25">
      <c r="A55" t="s">
        <v>34</v>
      </c>
      <c r="B55" s="115">
        <v>15</v>
      </c>
      <c r="C55" s="15"/>
      <c r="D55" s="15">
        <f>TRUNC(150*Q55*(1-L7)*(1-N55))</f>
        <v>0</v>
      </c>
      <c r="E55" s="15"/>
      <c r="F55" s="15"/>
      <c r="G55" s="15"/>
      <c r="H55" s="15"/>
      <c r="I55" s="15"/>
      <c r="J55" s="15">
        <f>TRUNC(60*Q55*(1-L7)*(1-N55))</f>
        <v>0</v>
      </c>
      <c r="K55" s="15"/>
      <c r="L55" s="16"/>
      <c r="M55" s="127" t="s">
        <v>173</v>
      </c>
      <c r="N55" s="124">
        <v>0</v>
      </c>
      <c r="O55" s="149">
        <f>IF(E$6="Elsweyr",60000*Q55*(1-L$7)*(1-N55),30000*Q55*(1-L$7)*(1-N55))</f>
        <v>0</v>
      </c>
      <c r="P55" s="145">
        <f t="shared" si="7"/>
        <v>0</v>
      </c>
      <c r="Q55" s="146">
        <f t="shared" si="5"/>
        <v>0</v>
      </c>
    </row>
    <row r="56" spans="1:17" x14ac:dyDescent="0.25">
      <c r="A56" t="s">
        <v>35</v>
      </c>
      <c r="B56" s="116">
        <v>15</v>
      </c>
      <c r="C56" s="17"/>
      <c r="D56" s="17"/>
      <c r="E56" s="17"/>
      <c r="F56" s="17">
        <f>TRUNC(70*Q56*(1-L7)*(1-N56))</f>
        <v>0</v>
      </c>
      <c r="G56" s="17"/>
      <c r="H56" s="17">
        <f>TRUNC(100*Q56*(1-L7)*(1-N56))</f>
        <v>0</v>
      </c>
      <c r="I56" s="17"/>
      <c r="J56" s="17"/>
      <c r="K56" s="17"/>
      <c r="L56" s="18"/>
      <c r="M56" s="127" t="s">
        <v>173</v>
      </c>
      <c r="N56" s="124">
        <v>0</v>
      </c>
      <c r="O56" s="150">
        <f t="shared" ref="O56:O61" si="10">30000*Q56*(1-L$7)*(1-N56)</f>
        <v>0</v>
      </c>
      <c r="P56" s="145">
        <f t="shared" si="7"/>
        <v>0</v>
      </c>
      <c r="Q56" s="146">
        <f t="shared" si="5"/>
        <v>0</v>
      </c>
    </row>
    <row r="57" spans="1:17" x14ac:dyDescent="0.25">
      <c r="A57" t="s">
        <v>36</v>
      </c>
      <c r="B57" s="116">
        <v>15</v>
      </c>
      <c r="C57" s="17"/>
      <c r="D57" s="17"/>
      <c r="E57" s="17"/>
      <c r="F57" s="17"/>
      <c r="G57" s="17"/>
      <c r="H57" s="17"/>
      <c r="I57" s="17"/>
      <c r="J57" s="17">
        <f>TRUNC(170*Q57*(1-L7)*(1-N57))</f>
        <v>0</v>
      </c>
      <c r="K57" s="17"/>
      <c r="L57" s="18"/>
      <c r="M57" s="127" t="s">
        <v>173</v>
      </c>
      <c r="N57" s="124">
        <v>0</v>
      </c>
      <c r="O57" s="150">
        <f t="shared" si="10"/>
        <v>0</v>
      </c>
      <c r="P57" s="145">
        <f t="shared" si="7"/>
        <v>0</v>
      </c>
      <c r="Q57" s="146">
        <f t="shared" si="5"/>
        <v>0</v>
      </c>
    </row>
    <row r="58" spans="1:17" x14ac:dyDescent="0.25">
      <c r="A58" t="s">
        <v>37</v>
      </c>
      <c r="B58" s="116">
        <v>15</v>
      </c>
      <c r="C58" s="17"/>
      <c r="D58" s="17"/>
      <c r="E58" s="17"/>
      <c r="F58" s="17"/>
      <c r="G58" s="17"/>
      <c r="H58" s="17">
        <f>TRUNC(170*Q58*(1-L7)*(1-N58))</f>
        <v>0</v>
      </c>
      <c r="I58" s="17"/>
      <c r="J58" s="17"/>
      <c r="K58" s="17"/>
      <c r="L58" s="18"/>
      <c r="M58" s="127" t="s">
        <v>173</v>
      </c>
      <c r="N58" s="124">
        <v>0</v>
      </c>
      <c r="O58" s="150">
        <f t="shared" si="10"/>
        <v>0</v>
      </c>
      <c r="P58" s="145">
        <f t="shared" si="7"/>
        <v>0</v>
      </c>
      <c r="Q58" s="146">
        <f t="shared" si="5"/>
        <v>0</v>
      </c>
    </row>
    <row r="59" spans="1:17" x14ac:dyDescent="0.25">
      <c r="A59" t="s">
        <v>38</v>
      </c>
      <c r="B59" s="116">
        <v>15</v>
      </c>
      <c r="C59" s="17"/>
      <c r="D59" s="17"/>
      <c r="E59" s="17"/>
      <c r="F59" s="17">
        <f>TRUNC(130*Q59*(1-L7)*(1-N59))</f>
        <v>0</v>
      </c>
      <c r="G59" s="17"/>
      <c r="H59" s="17"/>
      <c r="I59" s="17"/>
      <c r="J59" s="17">
        <f>TRUNC(40*Q59*(1-L7)*(1-N59))</f>
        <v>0</v>
      </c>
      <c r="K59" s="17"/>
      <c r="L59" s="18"/>
      <c r="M59" s="127" t="s">
        <v>173</v>
      </c>
      <c r="N59" s="124">
        <v>0</v>
      </c>
      <c r="O59" s="150">
        <f t="shared" si="10"/>
        <v>0</v>
      </c>
      <c r="P59" s="145">
        <f t="shared" si="7"/>
        <v>0</v>
      </c>
      <c r="Q59" s="146">
        <f t="shared" si="5"/>
        <v>0</v>
      </c>
    </row>
    <row r="60" spans="1:17" x14ac:dyDescent="0.25">
      <c r="A60" t="s">
        <v>39</v>
      </c>
      <c r="B60" s="116">
        <v>15</v>
      </c>
      <c r="C60" s="17"/>
      <c r="D60" s="17"/>
      <c r="E60" s="17"/>
      <c r="F60" s="17"/>
      <c r="G60" s="17"/>
      <c r="H60" s="17"/>
      <c r="I60" s="17"/>
      <c r="J60" s="17">
        <f>TRUNC(60*Q60*(1-L7)*(1-N60))</f>
        <v>0</v>
      </c>
      <c r="K60" s="17"/>
      <c r="L60" s="18">
        <f>TRUNC(110*Q60*(1-L7)*(1-N60))</f>
        <v>0</v>
      </c>
      <c r="M60" s="127" t="s">
        <v>173</v>
      </c>
      <c r="N60" s="124">
        <v>0</v>
      </c>
      <c r="O60" s="150">
        <f t="shared" si="10"/>
        <v>0</v>
      </c>
      <c r="P60" s="145">
        <f t="shared" si="7"/>
        <v>0</v>
      </c>
      <c r="Q60" s="146">
        <f t="shared" si="5"/>
        <v>0</v>
      </c>
    </row>
    <row r="61" spans="1:17" ht="15.75" thickBot="1" x14ac:dyDescent="0.3">
      <c r="A61" t="s">
        <v>40</v>
      </c>
      <c r="B61" s="116">
        <v>15</v>
      </c>
      <c r="C61" s="17">
        <f>TRUNC(30*Q61*(1-L7)*(1-N61))</f>
        <v>0</v>
      </c>
      <c r="D61" s="17"/>
      <c r="E61" s="17">
        <f>TRUNC(60*Q61*(1-L7)*(1-N61))</f>
        <v>0</v>
      </c>
      <c r="F61" s="17"/>
      <c r="G61" s="17"/>
      <c r="H61" s="17"/>
      <c r="I61" s="17"/>
      <c r="J61" s="17">
        <f>TRUNC(80*Q61*(1-L7)*(1-N61))</f>
        <v>0</v>
      </c>
      <c r="K61" s="17"/>
      <c r="L61" s="18"/>
      <c r="M61" s="127" t="s">
        <v>173</v>
      </c>
      <c r="N61" s="124">
        <v>0</v>
      </c>
      <c r="O61" s="150">
        <f t="shared" si="10"/>
        <v>0</v>
      </c>
      <c r="P61" s="145">
        <f t="shared" si="7"/>
        <v>0</v>
      </c>
      <c r="Q61" s="146">
        <f t="shared" si="5"/>
        <v>0</v>
      </c>
    </row>
    <row r="62" spans="1:17" ht="15.75" thickBot="1" x14ac:dyDescent="0.3">
      <c r="A62" s="3" t="s">
        <v>41</v>
      </c>
      <c r="B62" s="117" t="s">
        <v>166</v>
      </c>
      <c r="C62" s="91" t="s">
        <v>8</v>
      </c>
      <c r="D62" s="92" t="s">
        <v>9</v>
      </c>
      <c r="E62" s="92" t="s">
        <v>10</v>
      </c>
      <c r="F62" s="92" t="s">
        <v>137</v>
      </c>
      <c r="G62" s="92" t="s">
        <v>11</v>
      </c>
      <c r="H62" s="92" t="s">
        <v>138</v>
      </c>
      <c r="I62" s="92" t="s">
        <v>139</v>
      </c>
      <c r="J62" s="92" t="s">
        <v>12</v>
      </c>
      <c r="K62" s="92" t="s">
        <v>13</v>
      </c>
      <c r="L62" s="93" t="s">
        <v>105</v>
      </c>
      <c r="M62" s="93"/>
      <c r="N62" s="93"/>
      <c r="O62" s="151"/>
      <c r="P62" s="147"/>
      <c r="Q62" s="148"/>
    </row>
    <row r="63" spans="1:17" x14ac:dyDescent="0.25">
      <c r="A63" t="s">
        <v>42</v>
      </c>
      <c r="B63" s="115">
        <v>15</v>
      </c>
      <c r="C63" s="15"/>
      <c r="D63" s="15">
        <f>TRUNC(60*Q63*(1-L7)*(1-N63))</f>
        <v>0</v>
      </c>
      <c r="E63" s="15"/>
      <c r="F63" s="15"/>
      <c r="G63" s="15"/>
      <c r="H63" s="15"/>
      <c r="I63" s="15"/>
      <c r="J63" s="15"/>
      <c r="K63" s="15"/>
      <c r="L63" s="16">
        <f>TRUNC(150*Q63*(1-L7)*(1-N63))</f>
        <v>0</v>
      </c>
      <c r="M63" s="127" t="s">
        <v>173</v>
      </c>
      <c r="N63" s="124">
        <v>0</v>
      </c>
      <c r="O63" s="149">
        <f>IF(E$6="Hauteroche",60000*Q63*(1-L$7)*(1-N63),30000*Q63*(1-L$7)*(1-N63))</f>
        <v>0</v>
      </c>
      <c r="P63" s="145">
        <f t="shared" si="7"/>
        <v>0</v>
      </c>
      <c r="Q63" s="146">
        <f t="shared" si="5"/>
        <v>0</v>
      </c>
    </row>
    <row r="64" spans="1:17" x14ac:dyDescent="0.25">
      <c r="A64" t="s">
        <v>43</v>
      </c>
      <c r="B64" s="116">
        <v>15</v>
      </c>
      <c r="C64" s="17"/>
      <c r="D64" s="17">
        <f>TRUNC(70*Q64*(1-L7)*(1-N64))</f>
        <v>0</v>
      </c>
      <c r="E64" s="17"/>
      <c r="F64" s="17"/>
      <c r="G64" s="17"/>
      <c r="H64" s="17"/>
      <c r="I64" s="17"/>
      <c r="J64" s="17"/>
      <c r="K64" s="17"/>
      <c r="L64" s="18">
        <f>TRUNC(100*Q64*(1-L7)*(1-N64))</f>
        <v>0</v>
      </c>
      <c r="M64" s="127" t="s">
        <v>173</v>
      </c>
      <c r="N64" s="124">
        <v>0</v>
      </c>
      <c r="O64" s="150">
        <f t="shared" ref="O64:O70" si="11">30000*Q64*(1-L$7)*(1-N64)</f>
        <v>0</v>
      </c>
      <c r="P64" s="145">
        <f t="shared" si="7"/>
        <v>0</v>
      </c>
      <c r="Q64" s="146">
        <f t="shared" si="5"/>
        <v>0</v>
      </c>
    </row>
    <row r="65" spans="1:17" x14ac:dyDescent="0.25">
      <c r="A65" t="s">
        <v>44</v>
      </c>
      <c r="B65" s="116">
        <v>15</v>
      </c>
      <c r="C65" s="17"/>
      <c r="D65" s="17">
        <f>TRUNC(80*Q65*(1-L7)*(1-N65))</f>
        <v>0</v>
      </c>
      <c r="E65" s="17">
        <f>TRUNC(20*Q65*(1-L7)*(1-N65))</f>
        <v>0</v>
      </c>
      <c r="F65" s="17"/>
      <c r="G65" s="17"/>
      <c r="H65" s="17"/>
      <c r="I65" s="17"/>
      <c r="J65" s="17"/>
      <c r="K65" s="17">
        <f>TRUNC(70*Q65*(1-L7)*(1-N65))</f>
        <v>0</v>
      </c>
      <c r="L65" s="18"/>
      <c r="M65" s="127" t="s">
        <v>173</v>
      </c>
      <c r="N65" s="124">
        <v>0</v>
      </c>
      <c r="O65" s="150">
        <f t="shared" si="11"/>
        <v>0</v>
      </c>
      <c r="P65" s="145">
        <f t="shared" si="7"/>
        <v>0</v>
      </c>
      <c r="Q65" s="146">
        <f t="shared" si="5"/>
        <v>0</v>
      </c>
    </row>
    <row r="66" spans="1:17" x14ac:dyDescent="0.25">
      <c r="A66" t="s">
        <v>45</v>
      </c>
      <c r="B66" s="116">
        <v>15</v>
      </c>
      <c r="C66" s="17">
        <f>TRUNC(100*Q66*(1-L7)*(1-N66))</f>
        <v>0</v>
      </c>
      <c r="D66" s="17">
        <f>TRUNC(70*Q66*(1-L7)*(1-N66))</f>
        <v>0</v>
      </c>
      <c r="E66" s="17"/>
      <c r="F66" s="17"/>
      <c r="G66" s="17"/>
      <c r="H66" s="17"/>
      <c r="I66" s="17"/>
      <c r="J66" s="17"/>
      <c r="K66" s="17"/>
      <c r="L66" s="18"/>
      <c r="M66" s="127" t="s">
        <v>173</v>
      </c>
      <c r="N66" s="124">
        <v>0</v>
      </c>
      <c r="O66" s="150">
        <f t="shared" si="11"/>
        <v>0</v>
      </c>
      <c r="P66" s="145">
        <f t="shared" si="7"/>
        <v>0</v>
      </c>
      <c r="Q66" s="146">
        <f t="shared" si="5"/>
        <v>0</v>
      </c>
    </row>
    <row r="67" spans="1:17" x14ac:dyDescent="0.25">
      <c r="A67" t="s">
        <v>46</v>
      </c>
      <c r="B67" s="116">
        <v>15</v>
      </c>
      <c r="C67" s="17">
        <f>TRUNC(120*Q67*(1-L7)*(1-N67))</f>
        <v>0</v>
      </c>
      <c r="D67" s="17">
        <f>TRUNC(50*Q67*(1-L7)*(1-N67))</f>
        <v>0</v>
      </c>
      <c r="E67" s="17"/>
      <c r="F67" s="17"/>
      <c r="G67" s="17"/>
      <c r="H67" s="17"/>
      <c r="I67" s="17"/>
      <c r="J67" s="17"/>
      <c r="K67" s="17"/>
      <c r="L67" s="18"/>
      <c r="M67" s="127" t="s">
        <v>173</v>
      </c>
      <c r="N67" s="124">
        <v>0</v>
      </c>
      <c r="O67" s="150">
        <f t="shared" si="11"/>
        <v>0</v>
      </c>
      <c r="P67" s="145">
        <f t="shared" si="7"/>
        <v>0</v>
      </c>
      <c r="Q67" s="146">
        <f t="shared" si="5"/>
        <v>0</v>
      </c>
    </row>
    <row r="68" spans="1:17" x14ac:dyDescent="0.25">
      <c r="A68" t="s">
        <v>47</v>
      </c>
      <c r="B68" s="116">
        <v>15</v>
      </c>
      <c r="C68" s="17"/>
      <c r="D68" s="17"/>
      <c r="E68" s="17"/>
      <c r="F68" s="17"/>
      <c r="G68" s="17">
        <f>TRUNC(100*Q68*(1-L7)*(1-N68))</f>
        <v>0</v>
      </c>
      <c r="H68" s="17"/>
      <c r="I68" s="17"/>
      <c r="J68" s="17"/>
      <c r="K68" s="17"/>
      <c r="L68" s="18">
        <f>TRUNC(70*Q68*(1-L7)*(1-N68))</f>
        <v>0</v>
      </c>
      <c r="M68" s="127" t="s">
        <v>173</v>
      </c>
      <c r="N68" s="124">
        <v>0</v>
      </c>
      <c r="O68" s="150">
        <f t="shared" si="11"/>
        <v>0</v>
      </c>
      <c r="P68" s="145">
        <f t="shared" si="7"/>
        <v>0</v>
      </c>
      <c r="Q68" s="146">
        <f t="shared" si="5"/>
        <v>0</v>
      </c>
    </row>
    <row r="69" spans="1:17" x14ac:dyDescent="0.25">
      <c r="A69" t="s">
        <v>48</v>
      </c>
      <c r="B69" s="116">
        <v>15</v>
      </c>
      <c r="C69" s="17"/>
      <c r="D69" s="17">
        <f>TRUNC(90*Q69*(1-L7)*(1-N69))</f>
        <v>0</v>
      </c>
      <c r="E69" s="17"/>
      <c r="F69" s="17"/>
      <c r="G69" s="17"/>
      <c r="H69" s="17">
        <f>TRUNC(80*Q69*(1-L7)*(1-N69))</f>
        <v>0</v>
      </c>
      <c r="I69" s="17"/>
      <c r="J69" s="17"/>
      <c r="K69" s="17"/>
      <c r="L69" s="18"/>
      <c r="M69" s="127" t="s">
        <v>173</v>
      </c>
      <c r="N69" s="124">
        <v>0</v>
      </c>
      <c r="O69" s="150">
        <f t="shared" si="11"/>
        <v>0</v>
      </c>
      <c r="P69" s="145">
        <f t="shared" si="7"/>
        <v>0</v>
      </c>
      <c r="Q69" s="146">
        <f t="shared" si="5"/>
        <v>0</v>
      </c>
    </row>
    <row r="70" spans="1:17" ht="15.75" thickBot="1" x14ac:dyDescent="0.3">
      <c r="A70" t="s">
        <v>104</v>
      </c>
      <c r="B70" s="116">
        <v>15</v>
      </c>
      <c r="C70" s="17"/>
      <c r="D70" s="17"/>
      <c r="E70" s="17"/>
      <c r="F70" s="17"/>
      <c r="G70" s="17">
        <f>TRUNC(70*Q70*(1-L7)*(1-N70))</f>
        <v>0</v>
      </c>
      <c r="H70" s="17">
        <f>TRUNC(100*Q70*(1-L7)*(1-N70))</f>
        <v>0</v>
      </c>
      <c r="I70" s="17"/>
      <c r="J70" s="17"/>
      <c r="K70" s="17"/>
      <c r="L70" s="18"/>
      <c r="M70" s="127" t="s">
        <v>173</v>
      </c>
      <c r="N70" s="124">
        <v>0</v>
      </c>
      <c r="O70" s="150">
        <f t="shared" si="11"/>
        <v>0</v>
      </c>
      <c r="P70" s="145">
        <f t="shared" si="7"/>
        <v>0</v>
      </c>
      <c r="Q70" s="146">
        <f t="shared" si="5"/>
        <v>0</v>
      </c>
    </row>
    <row r="71" spans="1:17" ht="15.75" thickBot="1" x14ac:dyDescent="0.3">
      <c r="A71" s="3" t="s">
        <v>49</v>
      </c>
      <c r="B71" s="117" t="s">
        <v>166</v>
      </c>
      <c r="C71" s="91" t="s">
        <v>8</v>
      </c>
      <c r="D71" s="92" t="s">
        <v>9</v>
      </c>
      <c r="E71" s="92" t="s">
        <v>10</v>
      </c>
      <c r="F71" s="92" t="s">
        <v>137</v>
      </c>
      <c r="G71" s="92" t="s">
        <v>11</v>
      </c>
      <c r="H71" s="92" t="s">
        <v>138</v>
      </c>
      <c r="I71" s="92" t="s">
        <v>139</v>
      </c>
      <c r="J71" s="92" t="s">
        <v>12</v>
      </c>
      <c r="K71" s="92" t="s">
        <v>13</v>
      </c>
      <c r="L71" s="93" t="s">
        <v>105</v>
      </c>
      <c r="M71" s="93"/>
      <c r="N71" s="93"/>
      <c r="O71" s="151"/>
      <c r="P71" s="147"/>
      <c r="Q71" s="148"/>
    </row>
    <row r="72" spans="1:17" x14ac:dyDescent="0.25">
      <c r="A72" t="s">
        <v>50</v>
      </c>
      <c r="B72" s="115">
        <v>15</v>
      </c>
      <c r="C72" s="15"/>
      <c r="D72" s="15"/>
      <c r="E72" s="15"/>
      <c r="F72" s="15">
        <f>TRUNC(110*Q72*(1-L7)*(1-N72))</f>
        <v>0</v>
      </c>
      <c r="G72" s="15"/>
      <c r="H72" s="15"/>
      <c r="I72" s="15">
        <f>TRUNC(100*Q72*(1-L7)*(1-N72))</f>
        <v>0</v>
      </c>
      <c r="J72" s="15"/>
      <c r="K72" s="15"/>
      <c r="L72" s="16"/>
      <c r="M72" s="127" t="s">
        <v>173</v>
      </c>
      <c r="N72" s="124">
        <v>0</v>
      </c>
      <c r="O72" s="149">
        <f>IF(E$6="Lenclume",60000*Q72*(1-L$7)*(1-N72),30000*Q72*(1-L$7)*(1-N72))</f>
        <v>0</v>
      </c>
      <c r="P72" s="145">
        <f t="shared" si="7"/>
        <v>0</v>
      </c>
      <c r="Q72" s="146">
        <f t="shared" si="5"/>
        <v>0</v>
      </c>
    </row>
    <row r="73" spans="1:17" x14ac:dyDescent="0.25">
      <c r="A73" t="s">
        <v>51</v>
      </c>
      <c r="B73" s="116">
        <v>15</v>
      </c>
      <c r="C73" s="17"/>
      <c r="D73" s="17"/>
      <c r="E73" s="17"/>
      <c r="F73" s="17"/>
      <c r="G73" s="17">
        <f>TRUNC(60*Q73*(1-L7)*(1-N73))</f>
        <v>0</v>
      </c>
      <c r="H73" s="17"/>
      <c r="I73" s="17"/>
      <c r="J73" s="17">
        <f>TRUNC(110*Q73*(1-L7)*(1-N73))</f>
        <v>0</v>
      </c>
      <c r="K73" s="17"/>
      <c r="L73" s="18"/>
      <c r="M73" s="127" t="s">
        <v>173</v>
      </c>
      <c r="N73" s="124">
        <v>0</v>
      </c>
      <c r="O73" s="150">
        <f t="shared" ref="O73:O79" si="12">30000*Q73*(1-L$7)*(1-N73)</f>
        <v>0</v>
      </c>
      <c r="P73" s="145">
        <f t="shared" si="7"/>
        <v>0</v>
      </c>
      <c r="Q73" s="146">
        <f t="shared" si="5"/>
        <v>0</v>
      </c>
    </row>
    <row r="74" spans="1:17" x14ac:dyDescent="0.25">
      <c r="A74" t="s">
        <v>52</v>
      </c>
      <c r="B74" s="116">
        <v>15</v>
      </c>
      <c r="C74" s="17"/>
      <c r="D74" s="17"/>
      <c r="E74" s="17"/>
      <c r="F74" s="17">
        <f>TRUNC(120*Q74*(1-L7)*(1-N74))</f>
        <v>0</v>
      </c>
      <c r="G74" s="17"/>
      <c r="H74" s="17"/>
      <c r="I74" s="17"/>
      <c r="J74" s="17">
        <f>TRUNC(50*Q74*(1-L7)*(1-N74))</f>
        <v>0</v>
      </c>
      <c r="K74" s="17"/>
      <c r="L74" s="18"/>
      <c r="M74" s="127" t="s">
        <v>173</v>
      </c>
      <c r="N74" s="124">
        <v>0</v>
      </c>
      <c r="O74" s="150">
        <f t="shared" si="12"/>
        <v>0</v>
      </c>
      <c r="P74" s="145">
        <f t="shared" si="7"/>
        <v>0</v>
      </c>
      <c r="Q74" s="146">
        <f t="shared" si="5"/>
        <v>0</v>
      </c>
    </row>
    <row r="75" spans="1:17" x14ac:dyDescent="0.25">
      <c r="A75" t="s">
        <v>53</v>
      </c>
      <c r="B75" s="116">
        <v>15</v>
      </c>
      <c r="C75" s="17"/>
      <c r="D75" s="17"/>
      <c r="E75" s="17"/>
      <c r="F75" s="17">
        <f>TRUNC(170*Q75*(1-L7)*(1-N75))</f>
        <v>0</v>
      </c>
      <c r="G75" s="17"/>
      <c r="H75" s="17"/>
      <c r="I75" s="17"/>
      <c r="J75" s="17"/>
      <c r="K75" s="17"/>
      <c r="L75" s="18"/>
      <c r="M75" s="127" t="s">
        <v>173</v>
      </c>
      <c r="N75" s="124">
        <v>0</v>
      </c>
      <c r="O75" s="150">
        <f t="shared" si="12"/>
        <v>0</v>
      </c>
      <c r="P75" s="145">
        <f t="shared" si="7"/>
        <v>0</v>
      </c>
      <c r="Q75" s="146">
        <f t="shared" si="5"/>
        <v>0</v>
      </c>
    </row>
    <row r="76" spans="1:17" x14ac:dyDescent="0.25">
      <c r="A76" t="s">
        <v>54</v>
      </c>
      <c r="B76" s="116">
        <v>15</v>
      </c>
      <c r="C76" s="17"/>
      <c r="D76" s="17"/>
      <c r="E76" s="17"/>
      <c r="F76" s="17"/>
      <c r="G76" s="17"/>
      <c r="H76" s="17"/>
      <c r="I76" s="17"/>
      <c r="J76" s="17">
        <f>TRUNC(170*Q76*(1-L7)*(1-N76))</f>
        <v>0</v>
      </c>
      <c r="K76" s="17"/>
      <c r="L76" s="18"/>
      <c r="M76" s="127" t="s">
        <v>173</v>
      </c>
      <c r="N76" s="124">
        <v>0</v>
      </c>
      <c r="O76" s="150">
        <f t="shared" si="12"/>
        <v>0</v>
      </c>
      <c r="P76" s="145">
        <f t="shared" si="7"/>
        <v>0</v>
      </c>
      <c r="Q76" s="146">
        <f t="shared" si="5"/>
        <v>0</v>
      </c>
    </row>
    <row r="77" spans="1:17" x14ac:dyDescent="0.25">
      <c r="A77" t="s">
        <v>55</v>
      </c>
      <c r="B77" s="116">
        <v>15</v>
      </c>
      <c r="C77" s="17"/>
      <c r="D77" s="17"/>
      <c r="E77" s="17">
        <f>TRUNC(120*Q77*(1-L7)*(1-N77))</f>
        <v>0</v>
      </c>
      <c r="F77" s="17"/>
      <c r="G77" s="17"/>
      <c r="H77" s="17"/>
      <c r="I77" s="17"/>
      <c r="J77" s="17"/>
      <c r="K77" s="17">
        <f>TRUNC(50*Q77*(1-L7)*(1-N77))</f>
        <v>0</v>
      </c>
      <c r="L77" s="18"/>
      <c r="M77" s="127" t="s">
        <v>173</v>
      </c>
      <c r="N77" s="124">
        <v>0</v>
      </c>
      <c r="O77" s="150">
        <f t="shared" si="12"/>
        <v>0</v>
      </c>
      <c r="P77" s="145">
        <f t="shared" si="7"/>
        <v>0</v>
      </c>
      <c r="Q77" s="146">
        <f t="shared" si="5"/>
        <v>0</v>
      </c>
    </row>
    <row r="78" spans="1:17" x14ac:dyDescent="0.25">
      <c r="A78" t="s">
        <v>56</v>
      </c>
      <c r="B78" s="116">
        <v>15</v>
      </c>
      <c r="C78" s="17"/>
      <c r="D78" s="17"/>
      <c r="E78" s="17">
        <f>TRUNC(120*Q78*(1-L7)*(1-N78))</f>
        <v>0</v>
      </c>
      <c r="F78" s="17"/>
      <c r="G78" s="17"/>
      <c r="H78" s="17"/>
      <c r="I78" s="17">
        <f>TRUNC(50*Q78*(1-L7)*(1-N78))</f>
        <v>0</v>
      </c>
      <c r="J78" s="17"/>
      <c r="K78" s="17"/>
      <c r="L78" s="18"/>
      <c r="M78" s="127" t="s">
        <v>173</v>
      </c>
      <c r="N78" s="124">
        <v>0</v>
      </c>
      <c r="O78" s="150">
        <f t="shared" si="12"/>
        <v>0</v>
      </c>
      <c r="P78" s="145">
        <f t="shared" si="7"/>
        <v>0</v>
      </c>
      <c r="Q78" s="146">
        <f t="shared" si="5"/>
        <v>0</v>
      </c>
    </row>
    <row r="79" spans="1:17" ht="15.75" thickBot="1" x14ac:dyDescent="0.3">
      <c r="A79" t="s">
        <v>57</v>
      </c>
      <c r="B79" s="116">
        <v>15</v>
      </c>
      <c r="C79" s="17"/>
      <c r="D79" s="17"/>
      <c r="E79" s="17"/>
      <c r="F79" s="17">
        <f>TRUNC(30*Q79*(1-L7)*(1-N79))</f>
        <v>0</v>
      </c>
      <c r="G79" s="17">
        <f>TRUNC(40*Q79*(1-L7)*(1-N79))</f>
        <v>0</v>
      </c>
      <c r="H79" s="17"/>
      <c r="I79" s="17"/>
      <c r="J79" s="17"/>
      <c r="K79" s="17">
        <f>TRUNC(100*Q79*(1-L7)*(1-N79))</f>
        <v>0</v>
      </c>
      <c r="L79" s="18"/>
      <c r="M79" s="127" t="s">
        <v>173</v>
      </c>
      <c r="N79" s="124">
        <v>0</v>
      </c>
      <c r="O79" s="150">
        <f t="shared" si="12"/>
        <v>0</v>
      </c>
      <c r="P79" s="145">
        <f t="shared" si="7"/>
        <v>0</v>
      </c>
      <c r="Q79" s="146">
        <f t="shared" si="5"/>
        <v>0</v>
      </c>
    </row>
    <row r="80" spans="1:17" ht="15.75" thickBot="1" x14ac:dyDescent="0.3">
      <c r="A80" s="3" t="s">
        <v>59</v>
      </c>
      <c r="B80" s="117" t="s">
        <v>166</v>
      </c>
      <c r="C80" s="91" t="s">
        <v>8</v>
      </c>
      <c r="D80" s="92" t="s">
        <v>9</v>
      </c>
      <c r="E80" s="92" t="s">
        <v>10</v>
      </c>
      <c r="F80" s="92" t="s">
        <v>137</v>
      </c>
      <c r="G80" s="92" t="s">
        <v>11</v>
      </c>
      <c r="H80" s="92" t="s">
        <v>138</v>
      </c>
      <c r="I80" s="92" t="s">
        <v>139</v>
      </c>
      <c r="J80" s="92" t="s">
        <v>12</v>
      </c>
      <c r="K80" s="92" t="s">
        <v>13</v>
      </c>
      <c r="L80" s="93" t="s">
        <v>105</v>
      </c>
      <c r="M80" s="93"/>
      <c r="N80" s="93"/>
      <c r="O80" s="151"/>
      <c r="P80" s="147"/>
      <c r="Q80" s="148"/>
    </row>
    <row r="81" spans="1:17" x14ac:dyDescent="0.25">
      <c r="A81" t="s">
        <v>60</v>
      </c>
      <c r="B81" s="115">
        <v>15</v>
      </c>
      <c r="C81" s="15"/>
      <c r="D81" s="15"/>
      <c r="E81" s="15"/>
      <c r="F81" s="15">
        <f>TRUNC(40*Q81*(1-L7)*(1-N81))</f>
        <v>0</v>
      </c>
      <c r="G81" s="15"/>
      <c r="H81" s="15">
        <f>TRUNC(120*Q81*(1-L7)*(1-N81))</f>
        <v>0</v>
      </c>
      <c r="I81" s="15">
        <f>TRUNC(TRUNC(20*Q81*(1-L7)*(1-N81)))</f>
        <v>0</v>
      </c>
      <c r="J81" s="15"/>
      <c r="K81" s="15"/>
      <c r="L81" s="16">
        <f>TRUNC(20*Q81*(1-L7)*(1-N81))</f>
        <v>0</v>
      </c>
      <c r="M81" s="127" t="s">
        <v>173</v>
      </c>
      <c r="N81" s="124">
        <v>0</v>
      </c>
      <c r="O81" s="149">
        <f>IF(E$6="Marais Noir",60000*Q81*(1-L$7)*(1-N81),30000*Q81*(1-L$7)*(1-N81))</f>
        <v>0</v>
      </c>
      <c r="P81" s="145">
        <f t="shared" si="7"/>
        <v>0</v>
      </c>
      <c r="Q81" s="146">
        <f t="shared" si="5"/>
        <v>0</v>
      </c>
    </row>
    <row r="82" spans="1:17" x14ac:dyDescent="0.25">
      <c r="A82" t="s">
        <v>61</v>
      </c>
      <c r="B82" s="116">
        <v>15</v>
      </c>
      <c r="C82" s="17">
        <f>TRUNC(30*Q82*(1-L7)*(1-N82))</f>
        <v>0</v>
      </c>
      <c r="D82" s="17"/>
      <c r="E82" s="17"/>
      <c r="F82" s="17"/>
      <c r="G82" s="17"/>
      <c r="H82" s="17"/>
      <c r="I82" s="17"/>
      <c r="J82" s="17">
        <f>TRUNC(140*Q82*(1-L7)*(1-N82))</f>
        <v>0</v>
      </c>
      <c r="K82" s="17"/>
      <c r="L82" s="18"/>
      <c r="M82" s="127" t="s">
        <v>173</v>
      </c>
      <c r="N82" s="124">
        <v>0</v>
      </c>
      <c r="O82" s="150">
        <f t="shared" ref="O82:O88" si="13">30000*Q82*(1-L$7)*(1-N82)</f>
        <v>0</v>
      </c>
      <c r="P82" s="145">
        <f t="shared" si="7"/>
        <v>0</v>
      </c>
      <c r="Q82" s="146">
        <f t="shared" si="5"/>
        <v>0</v>
      </c>
    </row>
    <row r="83" spans="1:17" x14ac:dyDescent="0.25">
      <c r="A83" t="s">
        <v>62</v>
      </c>
      <c r="B83" s="116">
        <v>15</v>
      </c>
      <c r="C83" s="17"/>
      <c r="D83" s="17"/>
      <c r="E83" s="17"/>
      <c r="F83" s="17">
        <f>TRUNC(170*Q83*(1-L7)*(1-N83))</f>
        <v>0</v>
      </c>
      <c r="G83" s="17"/>
      <c r="H83" s="17"/>
      <c r="I83" s="17"/>
      <c r="J83" s="17"/>
      <c r="K83" s="17"/>
      <c r="L83" s="18"/>
      <c r="M83" s="127" t="s">
        <v>173</v>
      </c>
      <c r="N83" s="124">
        <v>0</v>
      </c>
      <c r="O83" s="150">
        <f t="shared" si="13"/>
        <v>0</v>
      </c>
      <c r="P83" s="145">
        <f t="shared" si="7"/>
        <v>0</v>
      </c>
      <c r="Q83" s="146">
        <f t="shared" si="5"/>
        <v>0</v>
      </c>
    </row>
    <row r="84" spans="1:17" x14ac:dyDescent="0.25">
      <c r="A84" t="s">
        <v>63</v>
      </c>
      <c r="B84" s="116">
        <v>15</v>
      </c>
      <c r="C84" s="17"/>
      <c r="D84" s="17">
        <f>TRUNC(50*Q84*(1-L7)*(1-N84))</f>
        <v>0</v>
      </c>
      <c r="E84" s="17"/>
      <c r="F84" s="17">
        <f>TRUNC(100*Q84*(1-L7)*(1-N84))</f>
        <v>0</v>
      </c>
      <c r="G84" s="17"/>
      <c r="H84" s="17">
        <f>TRUNC(20*Q84*(1-L7)*(1-N84))</f>
        <v>0</v>
      </c>
      <c r="I84" s="17"/>
      <c r="J84" s="17"/>
      <c r="K84" s="17"/>
      <c r="L84" s="18"/>
      <c r="M84" s="127" t="s">
        <v>173</v>
      </c>
      <c r="N84" s="124">
        <v>0</v>
      </c>
      <c r="O84" s="150">
        <f t="shared" si="13"/>
        <v>0</v>
      </c>
      <c r="P84" s="145">
        <f t="shared" si="7"/>
        <v>0</v>
      </c>
      <c r="Q84" s="146">
        <f t="shared" si="5"/>
        <v>0</v>
      </c>
    </row>
    <row r="85" spans="1:17" x14ac:dyDescent="0.25">
      <c r="A85" t="s">
        <v>64</v>
      </c>
      <c r="B85" s="116">
        <v>15</v>
      </c>
      <c r="C85" s="17"/>
      <c r="D85" s="17"/>
      <c r="E85" s="17"/>
      <c r="F85" s="17">
        <f>TRUNC(40*Q85*(1-L7)*(1-N85))</f>
        <v>0</v>
      </c>
      <c r="G85" s="17"/>
      <c r="H85" s="17"/>
      <c r="I85" s="17"/>
      <c r="J85" s="17"/>
      <c r="K85" s="17"/>
      <c r="L85" s="18">
        <f>TRUNC(130*Q85*(1-L7)*(1-N85))</f>
        <v>0</v>
      </c>
      <c r="M85" s="127" t="s">
        <v>173</v>
      </c>
      <c r="N85" s="124">
        <v>0</v>
      </c>
      <c r="O85" s="150">
        <f t="shared" si="13"/>
        <v>0</v>
      </c>
      <c r="P85" s="145">
        <f t="shared" si="7"/>
        <v>0</v>
      </c>
      <c r="Q85" s="146">
        <f t="shared" si="5"/>
        <v>0</v>
      </c>
    </row>
    <row r="86" spans="1:17" x14ac:dyDescent="0.25">
      <c r="A86" t="s">
        <v>65</v>
      </c>
      <c r="B86" s="116">
        <v>15</v>
      </c>
      <c r="C86" s="17"/>
      <c r="D86" s="17"/>
      <c r="E86" s="17"/>
      <c r="F86" s="17"/>
      <c r="G86" s="17"/>
      <c r="H86" s="17">
        <f>TRUNC(170*Q86*(1-L7)*(1-N86))</f>
        <v>0</v>
      </c>
      <c r="I86" s="17"/>
      <c r="J86" s="17"/>
      <c r="K86" s="17"/>
      <c r="L86" s="18"/>
      <c r="M86" s="127" t="s">
        <v>173</v>
      </c>
      <c r="N86" s="124">
        <v>0</v>
      </c>
      <c r="O86" s="150">
        <f t="shared" si="13"/>
        <v>0</v>
      </c>
      <c r="P86" s="145">
        <f t="shared" si="7"/>
        <v>0</v>
      </c>
      <c r="Q86" s="146">
        <f t="shared" si="5"/>
        <v>0</v>
      </c>
    </row>
    <row r="87" spans="1:17" x14ac:dyDescent="0.25">
      <c r="A87" t="s">
        <v>66</v>
      </c>
      <c r="B87" s="116">
        <v>15</v>
      </c>
      <c r="C87" s="17"/>
      <c r="D87" s="17"/>
      <c r="E87" s="17"/>
      <c r="F87" s="17"/>
      <c r="G87" s="17"/>
      <c r="H87" s="17">
        <f>TRUNC(40*Q87*(1-L7)*(1-N87))</f>
        <v>0</v>
      </c>
      <c r="I87" s="17">
        <f>TRUNC(130*Q87*(1-L7)*(1-N87))</f>
        <v>0</v>
      </c>
      <c r="J87" s="17"/>
      <c r="K87" s="17"/>
      <c r="L87" s="18"/>
      <c r="M87" s="127" t="s">
        <v>173</v>
      </c>
      <c r="N87" s="124">
        <v>0</v>
      </c>
      <c r="O87" s="150">
        <f t="shared" si="13"/>
        <v>0</v>
      </c>
      <c r="P87" s="145">
        <f t="shared" si="7"/>
        <v>0</v>
      </c>
      <c r="Q87" s="146">
        <f t="shared" si="5"/>
        <v>0</v>
      </c>
    </row>
    <row r="88" spans="1:17" ht="15.75" thickBot="1" x14ac:dyDescent="0.3">
      <c r="A88" t="s">
        <v>67</v>
      </c>
      <c r="B88" s="116">
        <v>15</v>
      </c>
      <c r="C88" s="17"/>
      <c r="D88" s="17"/>
      <c r="E88" s="17"/>
      <c r="F88" s="17"/>
      <c r="G88" s="17"/>
      <c r="H88" s="17">
        <f>TRUNC(100*Q88*(1-L7)*(1-N88))</f>
        <v>0</v>
      </c>
      <c r="I88" s="17">
        <f>TRUNC(70*Q88*(1-L7)*(1-N88))</f>
        <v>0</v>
      </c>
      <c r="J88" s="17"/>
      <c r="K88" s="17"/>
      <c r="L88" s="18"/>
      <c r="M88" s="127" t="s">
        <v>173</v>
      </c>
      <c r="N88" s="124">
        <v>0</v>
      </c>
      <c r="O88" s="150">
        <f t="shared" si="13"/>
        <v>0</v>
      </c>
      <c r="P88" s="145">
        <f t="shared" si="7"/>
        <v>0</v>
      </c>
      <c r="Q88" s="146">
        <f t="shared" si="5"/>
        <v>0</v>
      </c>
    </row>
    <row r="89" spans="1:17" ht="15.75" thickBot="1" x14ac:dyDescent="0.3">
      <c r="A89" s="3" t="s">
        <v>68</v>
      </c>
      <c r="B89" s="117" t="s">
        <v>166</v>
      </c>
      <c r="C89" s="91" t="s">
        <v>8</v>
      </c>
      <c r="D89" s="92" t="s">
        <v>9</v>
      </c>
      <c r="E89" s="92" t="s">
        <v>10</v>
      </c>
      <c r="F89" s="92" t="s">
        <v>137</v>
      </c>
      <c r="G89" s="92" t="s">
        <v>11</v>
      </c>
      <c r="H89" s="92" t="s">
        <v>138</v>
      </c>
      <c r="I89" s="92" t="s">
        <v>139</v>
      </c>
      <c r="J89" s="92" t="s">
        <v>12</v>
      </c>
      <c r="K89" s="92" t="s">
        <v>13</v>
      </c>
      <c r="L89" s="93" t="s">
        <v>105</v>
      </c>
      <c r="M89" s="93"/>
      <c r="N89" s="93"/>
      <c r="O89" s="151"/>
      <c r="P89" s="147"/>
      <c r="Q89" s="148"/>
    </row>
    <row r="90" spans="1:17" x14ac:dyDescent="0.25">
      <c r="A90" t="s">
        <v>69</v>
      </c>
      <c r="B90" s="115">
        <v>15</v>
      </c>
      <c r="C90" s="15"/>
      <c r="D90" s="15"/>
      <c r="E90" s="15">
        <f>TRUNC(20*Q90*(1-L7)*(1-N90))</f>
        <v>0</v>
      </c>
      <c r="F90" s="15"/>
      <c r="G90" s="15">
        <f>TRUNC(20*Q90*(1-L7)*(1-N90))</f>
        <v>0</v>
      </c>
      <c r="H90" s="15">
        <f>TRUNC(90*Q90*(1-L7)*(1-N90))</f>
        <v>0</v>
      </c>
      <c r="I90" s="15"/>
      <c r="J90" s="15">
        <f>TRUNC(20*Q90*(1-L7)*(1-N90))</f>
        <v>0</v>
      </c>
      <c r="K90" s="15"/>
      <c r="L90" s="16">
        <f>TRUNC(60*Q90*(1-L7)*(1-N90))</f>
        <v>0</v>
      </c>
      <c r="M90" s="127" t="s">
        <v>173</v>
      </c>
      <c r="N90" s="124">
        <v>0</v>
      </c>
      <c r="O90" s="149">
        <f>IF(E$6="Morrowind",60000*Q90*(1-L$7)*(1-N90),30000*Q90*(1-L$7)*(1-N90))</f>
        <v>0</v>
      </c>
      <c r="P90" s="145">
        <f t="shared" si="7"/>
        <v>0</v>
      </c>
      <c r="Q90" s="146">
        <f t="shared" si="5"/>
        <v>0</v>
      </c>
    </row>
    <row r="91" spans="1:17" x14ac:dyDescent="0.25">
      <c r="A91" t="s">
        <v>70</v>
      </c>
      <c r="B91" s="116">
        <v>15</v>
      </c>
      <c r="C91" s="17"/>
      <c r="D91" s="17"/>
      <c r="E91" s="17"/>
      <c r="F91" s="17"/>
      <c r="G91" s="17">
        <f>TRUNC(170*Q91*(1-L7)*(1-N91))</f>
        <v>0</v>
      </c>
      <c r="H91" s="17"/>
      <c r="I91" s="17"/>
      <c r="J91" s="17"/>
      <c r="K91" s="17"/>
      <c r="L91" s="18"/>
      <c r="M91" s="127" t="s">
        <v>173</v>
      </c>
      <c r="N91" s="124">
        <v>0</v>
      </c>
      <c r="O91" s="150">
        <f t="shared" ref="O91:O97" si="14">30000*Q91*(1-L$7)*(1-N91)</f>
        <v>0</v>
      </c>
      <c r="P91" s="145">
        <f t="shared" si="7"/>
        <v>0</v>
      </c>
      <c r="Q91" s="146">
        <f t="shared" si="5"/>
        <v>0</v>
      </c>
    </row>
    <row r="92" spans="1:17" x14ac:dyDescent="0.25">
      <c r="A92" t="s">
        <v>71</v>
      </c>
      <c r="B92" s="116">
        <v>15</v>
      </c>
      <c r="C92" s="17">
        <f>TRUNC(70*Q92*(1-L7)*(1-N92))</f>
        <v>0</v>
      </c>
      <c r="D92" s="17"/>
      <c r="E92" s="17"/>
      <c r="F92" s="17"/>
      <c r="G92" s="17"/>
      <c r="H92" s="17"/>
      <c r="I92" s="17"/>
      <c r="J92" s="17"/>
      <c r="K92" s="17"/>
      <c r="L92" s="18">
        <f>TRUNC(100*Q92*(1-L7)*(1-N92))</f>
        <v>0</v>
      </c>
      <c r="M92" s="127" t="s">
        <v>173</v>
      </c>
      <c r="N92" s="124">
        <v>0</v>
      </c>
      <c r="O92" s="150">
        <f t="shared" si="14"/>
        <v>0</v>
      </c>
      <c r="P92" s="145">
        <f t="shared" si="7"/>
        <v>0</v>
      </c>
      <c r="Q92" s="146">
        <f t="shared" ref="Q92:Q111" si="15">IF(M92="Possédée",1,IF(M92="Assiégée",0.5,0))</f>
        <v>0</v>
      </c>
    </row>
    <row r="93" spans="1:17" x14ac:dyDescent="0.25">
      <c r="A93" t="s">
        <v>72</v>
      </c>
      <c r="B93" s="116">
        <v>15</v>
      </c>
      <c r="C93" s="17"/>
      <c r="D93" s="17"/>
      <c r="E93" s="17">
        <f>TRUNC(60*Q93*(1-L7)*(1-N93))</f>
        <v>0</v>
      </c>
      <c r="F93" s="17"/>
      <c r="G93" s="17"/>
      <c r="H93" s="17"/>
      <c r="I93" s="17"/>
      <c r="J93" s="17"/>
      <c r="K93" s="17">
        <f>TRUNC(110*Q93*(1-L7)*(1-N93))</f>
        <v>0</v>
      </c>
      <c r="L93" s="18"/>
      <c r="M93" s="127" t="s">
        <v>173</v>
      </c>
      <c r="N93" s="124">
        <v>0</v>
      </c>
      <c r="O93" s="150">
        <f t="shared" si="14"/>
        <v>0</v>
      </c>
      <c r="P93" s="145">
        <f t="shared" ref="P93:P118" si="16">IF(OR(M93="Possédée",M93="Assiégée"),B93,0)</f>
        <v>0</v>
      </c>
      <c r="Q93" s="146">
        <f t="shared" si="15"/>
        <v>0</v>
      </c>
    </row>
    <row r="94" spans="1:17" x14ac:dyDescent="0.25">
      <c r="A94" t="s">
        <v>73</v>
      </c>
      <c r="B94" s="116">
        <v>15</v>
      </c>
      <c r="C94" s="17"/>
      <c r="D94" s="17"/>
      <c r="E94" s="17"/>
      <c r="F94" s="17"/>
      <c r="G94" s="17">
        <f>TRUNC(100*Q94*(1-L7)*(1-N94))</f>
        <v>0</v>
      </c>
      <c r="H94" s="17">
        <f>TRUNC(50*Q94*(1-L7)*(1-N94))</f>
        <v>0</v>
      </c>
      <c r="I94" s="17"/>
      <c r="J94" s="17"/>
      <c r="K94" s="17"/>
      <c r="L94" s="18">
        <f>TRUNC(20*Q94*(1-L7)*(1-N94))</f>
        <v>0</v>
      </c>
      <c r="M94" s="127" t="s">
        <v>173</v>
      </c>
      <c r="N94" s="124">
        <v>0</v>
      </c>
      <c r="O94" s="150">
        <f t="shared" si="14"/>
        <v>0</v>
      </c>
      <c r="P94" s="145">
        <f t="shared" si="16"/>
        <v>0</v>
      </c>
      <c r="Q94" s="146">
        <f t="shared" si="15"/>
        <v>0</v>
      </c>
    </row>
    <row r="95" spans="1:17" x14ac:dyDescent="0.25">
      <c r="A95" t="s">
        <v>74</v>
      </c>
      <c r="B95" s="116">
        <v>15</v>
      </c>
      <c r="C95" s="17"/>
      <c r="D95" s="17"/>
      <c r="E95" s="17">
        <f>TRUNC(100*Q95*(1-L7)*(1-N95))</f>
        <v>0</v>
      </c>
      <c r="F95" s="17"/>
      <c r="G95" s="17">
        <f>TRUNC(70*Q95*(1-L7)*(1-N95))</f>
        <v>0</v>
      </c>
      <c r="H95" s="17"/>
      <c r="I95" s="17"/>
      <c r="J95" s="17"/>
      <c r="K95" s="17"/>
      <c r="L95" s="18"/>
      <c r="M95" s="127" t="s">
        <v>173</v>
      </c>
      <c r="N95" s="124">
        <v>0</v>
      </c>
      <c r="O95" s="150">
        <f t="shared" si="14"/>
        <v>0</v>
      </c>
      <c r="P95" s="145">
        <f t="shared" si="16"/>
        <v>0</v>
      </c>
      <c r="Q95" s="146">
        <f t="shared" si="15"/>
        <v>0</v>
      </c>
    </row>
    <row r="96" spans="1:17" x14ac:dyDescent="0.25">
      <c r="A96" t="s">
        <v>75</v>
      </c>
      <c r="B96" s="116">
        <v>15</v>
      </c>
      <c r="C96" s="17"/>
      <c r="D96" s="17"/>
      <c r="E96" s="17">
        <f>TRUNC(120*Q96*(1-L7)*(1-N96))</f>
        <v>0</v>
      </c>
      <c r="F96" s="17"/>
      <c r="G96" s="17"/>
      <c r="H96" s="17"/>
      <c r="I96" s="17"/>
      <c r="J96" s="17"/>
      <c r="K96" s="17">
        <f>TRUNC(50*Q96*(1-L7)*(1-N96))</f>
        <v>0</v>
      </c>
      <c r="L96" s="18"/>
      <c r="M96" s="127" t="s">
        <v>173</v>
      </c>
      <c r="N96" s="124">
        <v>0</v>
      </c>
      <c r="O96" s="150">
        <f t="shared" si="14"/>
        <v>0</v>
      </c>
      <c r="P96" s="145">
        <f t="shared" si="16"/>
        <v>0</v>
      </c>
      <c r="Q96" s="146">
        <f t="shared" si="15"/>
        <v>0</v>
      </c>
    </row>
    <row r="97" spans="1:17" ht="15.75" thickBot="1" x14ac:dyDescent="0.3">
      <c r="A97" t="s">
        <v>76</v>
      </c>
      <c r="B97" s="116">
        <v>15</v>
      </c>
      <c r="C97" s="17"/>
      <c r="D97" s="17"/>
      <c r="E97" s="17">
        <f>TRUNC(170*Q97*(1-L7)*(1-N97))</f>
        <v>0</v>
      </c>
      <c r="F97" s="17"/>
      <c r="G97" s="17"/>
      <c r="H97" s="17"/>
      <c r="I97" s="17"/>
      <c r="J97" s="17"/>
      <c r="K97" s="17"/>
      <c r="L97" s="18"/>
      <c r="M97" s="127" t="s">
        <v>173</v>
      </c>
      <c r="N97" s="124">
        <v>0</v>
      </c>
      <c r="O97" s="150">
        <f t="shared" si="14"/>
        <v>0</v>
      </c>
      <c r="P97" s="145">
        <f t="shared" si="16"/>
        <v>0</v>
      </c>
      <c r="Q97" s="146">
        <f t="shared" si="15"/>
        <v>0</v>
      </c>
    </row>
    <row r="98" spans="1:17" ht="15.75" thickBot="1" x14ac:dyDescent="0.3">
      <c r="A98" s="3" t="s">
        <v>77</v>
      </c>
      <c r="B98" s="117" t="s">
        <v>166</v>
      </c>
      <c r="C98" s="91" t="s">
        <v>8</v>
      </c>
      <c r="D98" s="92" t="s">
        <v>9</v>
      </c>
      <c r="E98" s="92" t="s">
        <v>10</v>
      </c>
      <c r="F98" s="92" t="s">
        <v>137</v>
      </c>
      <c r="G98" s="92" t="s">
        <v>11</v>
      </c>
      <c r="H98" s="92" t="s">
        <v>138</v>
      </c>
      <c r="I98" s="92" t="s">
        <v>139</v>
      </c>
      <c r="J98" s="92" t="s">
        <v>12</v>
      </c>
      <c r="K98" s="92" t="s">
        <v>13</v>
      </c>
      <c r="L98" s="93" t="s">
        <v>105</v>
      </c>
      <c r="M98" s="93"/>
      <c r="N98" s="93"/>
      <c r="O98" s="151"/>
      <c r="P98" s="147"/>
      <c r="Q98" s="148"/>
    </row>
    <row r="99" spans="1:17" x14ac:dyDescent="0.25">
      <c r="A99" t="s">
        <v>78</v>
      </c>
      <c r="B99" s="115">
        <v>15</v>
      </c>
      <c r="C99" s="15"/>
      <c r="D99" s="15"/>
      <c r="E99" s="15"/>
      <c r="F99" s="15"/>
      <c r="G99" s="15">
        <f>TRUNC(30*Q99*(1-L7)*(1-N99))</f>
        <v>0</v>
      </c>
      <c r="H99" s="15">
        <f>TRUNC(40*Q99*(1-L7)*(1-N99))</f>
        <v>0</v>
      </c>
      <c r="I99" s="15">
        <f>TRUNC(140*Q99*(1-L7)*(1-N99))</f>
        <v>0</v>
      </c>
      <c r="J99" s="15"/>
      <c r="K99" s="15"/>
      <c r="L99" s="16"/>
      <c r="M99" s="127" t="s">
        <v>173</v>
      </c>
      <c r="N99" s="124">
        <v>0</v>
      </c>
      <c r="O99" s="149">
        <f>IF(E$6="Val-Boisé",60000*Q99*(1-L$7)*(1-N99),30000*Q99*(1-L$7)*(1-N99))</f>
        <v>0</v>
      </c>
      <c r="P99" s="145">
        <f t="shared" si="16"/>
        <v>0</v>
      </c>
      <c r="Q99" s="146">
        <f t="shared" si="15"/>
        <v>0</v>
      </c>
    </row>
    <row r="100" spans="1:17" x14ac:dyDescent="0.25">
      <c r="A100" t="s">
        <v>79</v>
      </c>
      <c r="B100" s="116">
        <v>15</v>
      </c>
      <c r="C100" s="17"/>
      <c r="D100" s="17"/>
      <c r="E100" s="17"/>
      <c r="F100" s="17"/>
      <c r="G100" s="17"/>
      <c r="H100" s="17"/>
      <c r="I100" s="17">
        <f>TRUNC(50*Q100*(1-L7)*(1-N100))</f>
        <v>0</v>
      </c>
      <c r="J100" s="17">
        <f>TRUNC(120*Q100*(1-L7)*(1-N100))</f>
        <v>0</v>
      </c>
      <c r="K100" s="17"/>
      <c r="L100" s="18"/>
      <c r="M100" s="127" t="s">
        <v>173</v>
      </c>
      <c r="N100" s="124">
        <v>0</v>
      </c>
      <c r="O100" s="150">
        <f t="shared" ref="O100:O106" si="17">30000*Q100*(1-L$7)*(1-N100)</f>
        <v>0</v>
      </c>
      <c r="P100" s="145">
        <f t="shared" si="16"/>
        <v>0</v>
      </c>
      <c r="Q100" s="146">
        <f t="shared" si="15"/>
        <v>0</v>
      </c>
    </row>
    <row r="101" spans="1:17" x14ac:dyDescent="0.25">
      <c r="A101" t="s">
        <v>80</v>
      </c>
      <c r="B101" s="116">
        <v>15</v>
      </c>
      <c r="C101" s="17"/>
      <c r="D101" s="17"/>
      <c r="E101" s="17"/>
      <c r="F101" s="17">
        <f>TRUNC(70*Q101*(1-L7)*(1-N101))</f>
        <v>0</v>
      </c>
      <c r="G101" s="17">
        <f>TRUNC(40*Q101*(1-L7)*(1-N101))</f>
        <v>0</v>
      </c>
      <c r="H101" s="17"/>
      <c r="I101" s="17"/>
      <c r="J101" s="17"/>
      <c r="K101" s="17">
        <f>TRUNC(20*Q101*(1-L7)*(1-N101))</f>
        <v>0</v>
      </c>
      <c r="L101" s="18">
        <f>TRUNC(40*Q101*(1-L7)*(1-N101))</f>
        <v>0</v>
      </c>
      <c r="M101" s="127" t="s">
        <v>173</v>
      </c>
      <c r="N101" s="124">
        <v>0</v>
      </c>
      <c r="O101" s="150">
        <f t="shared" si="17"/>
        <v>0</v>
      </c>
      <c r="P101" s="145">
        <f t="shared" si="16"/>
        <v>0</v>
      </c>
      <c r="Q101" s="146">
        <f t="shared" si="15"/>
        <v>0</v>
      </c>
    </row>
    <row r="102" spans="1:17" x14ac:dyDescent="0.25">
      <c r="A102" t="s">
        <v>81</v>
      </c>
      <c r="B102" s="116">
        <v>15</v>
      </c>
      <c r="C102" s="17"/>
      <c r="D102" s="17"/>
      <c r="E102" s="17"/>
      <c r="F102" s="17"/>
      <c r="G102" s="17"/>
      <c r="H102" s="17"/>
      <c r="I102" s="17">
        <f>TRUNC(170*Q102*(1-L7)*(1-N102))</f>
        <v>0</v>
      </c>
      <c r="J102" s="17"/>
      <c r="K102" s="17"/>
      <c r="L102" s="18"/>
      <c r="M102" s="127" t="s">
        <v>173</v>
      </c>
      <c r="N102" s="124">
        <v>0</v>
      </c>
      <c r="O102" s="150">
        <f t="shared" si="17"/>
        <v>0</v>
      </c>
      <c r="P102" s="145">
        <f t="shared" si="16"/>
        <v>0</v>
      </c>
      <c r="Q102" s="146">
        <f t="shared" si="15"/>
        <v>0</v>
      </c>
    </row>
    <row r="103" spans="1:17" x14ac:dyDescent="0.25">
      <c r="A103" t="s">
        <v>82</v>
      </c>
      <c r="B103" s="116">
        <v>15</v>
      </c>
      <c r="C103" s="17">
        <f>TRUNC(100*Q103*(1-L7)*(1-N103))</f>
        <v>0</v>
      </c>
      <c r="D103" s="17"/>
      <c r="E103" s="17"/>
      <c r="F103" s="17"/>
      <c r="G103" s="17"/>
      <c r="H103" s="17"/>
      <c r="I103" s="17"/>
      <c r="J103" s="17">
        <f>TRUNC(70*Q103*(1-L7)*(1-N103))</f>
        <v>0</v>
      </c>
      <c r="K103" s="17"/>
      <c r="L103" s="18"/>
      <c r="M103" s="127" t="s">
        <v>173</v>
      </c>
      <c r="N103" s="124">
        <v>0</v>
      </c>
      <c r="O103" s="150">
        <f t="shared" si="17"/>
        <v>0</v>
      </c>
      <c r="P103" s="145">
        <f t="shared" si="16"/>
        <v>0</v>
      </c>
      <c r="Q103" s="146">
        <f t="shared" si="15"/>
        <v>0</v>
      </c>
    </row>
    <row r="104" spans="1:17" x14ac:dyDescent="0.25">
      <c r="A104" t="s">
        <v>83</v>
      </c>
      <c r="B104" s="116">
        <v>15</v>
      </c>
      <c r="C104" s="17">
        <f>TRUNC(170*Q104*(1-L7)*(1-N104))</f>
        <v>0</v>
      </c>
      <c r="D104" s="17"/>
      <c r="E104" s="17"/>
      <c r="F104" s="17"/>
      <c r="G104" s="17"/>
      <c r="H104" s="17"/>
      <c r="I104" s="17"/>
      <c r="J104" s="17"/>
      <c r="K104" s="17"/>
      <c r="L104" s="18"/>
      <c r="M104" s="127" t="s">
        <v>173</v>
      </c>
      <c r="N104" s="124">
        <v>0</v>
      </c>
      <c r="O104" s="150">
        <f t="shared" si="17"/>
        <v>0</v>
      </c>
      <c r="P104" s="145">
        <f t="shared" si="16"/>
        <v>0</v>
      </c>
      <c r="Q104" s="146">
        <f t="shared" si="15"/>
        <v>0</v>
      </c>
    </row>
    <row r="105" spans="1:17" x14ac:dyDescent="0.25">
      <c r="A105" t="s">
        <v>84</v>
      </c>
      <c r="B105" s="116">
        <v>15</v>
      </c>
      <c r="C105" s="17"/>
      <c r="D105" s="17"/>
      <c r="E105" s="17"/>
      <c r="F105" s="17"/>
      <c r="G105" s="17"/>
      <c r="H105" s="17">
        <f>TRUNC(170*Q105*(1-L7)*(1-N105))</f>
        <v>0</v>
      </c>
      <c r="I105" s="17"/>
      <c r="J105" s="17"/>
      <c r="K105" s="17"/>
      <c r="L105" s="18"/>
      <c r="M105" s="127" t="s">
        <v>173</v>
      </c>
      <c r="N105" s="124">
        <v>0</v>
      </c>
      <c r="O105" s="150">
        <f t="shared" si="17"/>
        <v>0</v>
      </c>
      <c r="P105" s="145">
        <f t="shared" si="16"/>
        <v>0</v>
      </c>
      <c r="Q105" s="146">
        <f t="shared" si="15"/>
        <v>0</v>
      </c>
    </row>
    <row r="106" spans="1:17" ht="15.75" thickBot="1" x14ac:dyDescent="0.3">
      <c r="A106" t="s">
        <v>85</v>
      </c>
      <c r="B106" s="116">
        <v>15</v>
      </c>
      <c r="C106" s="17">
        <f>TRUNC(60*Q106*(1-L7)*(1-N106))</f>
        <v>0</v>
      </c>
      <c r="D106" s="17"/>
      <c r="E106" s="17"/>
      <c r="F106" s="17"/>
      <c r="G106" s="17"/>
      <c r="H106" s="17"/>
      <c r="I106" s="17">
        <f>TRUNC(110*Q106*(1-L7)*(1-N106))</f>
        <v>0</v>
      </c>
      <c r="J106" s="17"/>
      <c r="K106" s="17"/>
      <c r="L106" s="18"/>
      <c r="M106" s="127" t="s">
        <v>173</v>
      </c>
      <c r="N106" s="124">
        <v>0</v>
      </c>
      <c r="O106" s="150">
        <f t="shared" si="17"/>
        <v>0</v>
      </c>
      <c r="P106" s="145">
        <f t="shared" si="16"/>
        <v>0</v>
      </c>
      <c r="Q106" s="146">
        <f t="shared" si="15"/>
        <v>0</v>
      </c>
    </row>
    <row r="107" spans="1:17" ht="15.75" thickBot="1" x14ac:dyDescent="0.3">
      <c r="A107" s="3" t="s">
        <v>86</v>
      </c>
      <c r="B107" s="117" t="s">
        <v>166</v>
      </c>
      <c r="C107" s="91" t="s">
        <v>8</v>
      </c>
      <c r="D107" s="92" t="s">
        <v>9</v>
      </c>
      <c r="E107" s="92" t="s">
        <v>10</v>
      </c>
      <c r="F107" s="92" t="s">
        <v>137</v>
      </c>
      <c r="G107" s="92" t="s">
        <v>11</v>
      </c>
      <c r="H107" s="92" t="s">
        <v>138</v>
      </c>
      <c r="I107" s="92" t="s">
        <v>139</v>
      </c>
      <c r="J107" s="92" t="s">
        <v>12</v>
      </c>
      <c r="K107" s="92" t="s">
        <v>13</v>
      </c>
      <c r="L107" s="93" t="s">
        <v>105</v>
      </c>
      <c r="M107" s="93"/>
      <c r="N107" s="93"/>
      <c r="O107" s="151"/>
      <c r="P107" s="147"/>
      <c r="Q107" s="148"/>
    </row>
    <row r="108" spans="1:17" x14ac:dyDescent="0.25">
      <c r="A108" t="s">
        <v>89</v>
      </c>
      <c r="B108" s="115">
        <v>15</v>
      </c>
      <c r="C108" s="15"/>
      <c r="D108" s="15"/>
      <c r="E108" s="15">
        <f>TRUNC(90*Q108*(1-L7)*(1-N108))</f>
        <v>90</v>
      </c>
      <c r="F108" s="15"/>
      <c r="G108" s="15"/>
      <c r="H108" s="15"/>
      <c r="I108" s="15"/>
      <c r="J108" s="15"/>
      <c r="K108" s="15">
        <f>TRUNC(120*Q108*(1-L7)*(1-N108))</f>
        <v>120</v>
      </c>
      <c r="L108" s="16"/>
      <c r="M108" s="127" t="s">
        <v>174</v>
      </c>
      <c r="N108" s="124">
        <v>0</v>
      </c>
      <c r="O108" s="149">
        <f>IF(E$6="Solstheim",60000*Q108*(1-L$7)*(1-N108),30000*Q108*(1-L$7)*(1-N108))</f>
        <v>60000</v>
      </c>
      <c r="P108" s="145">
        <f t="shared" si="16"/>
        <v>15</v>
      </c>
      <c r="Q108" s="146">
        <f t="shared" si="15"/>
        <v>1</v>
      </c>
    </row>
    <row r="109" spans="1:17" x14ac:dyDescent="0.25">
      <c r="A109" t="s">
        <v>88</v>
      </c>
      <c r="B109" s="116">
        <v>15</v>
      </c>
      <c r="C109" s="17"/>
      <c r="D109" s="17"/>
      <c r="E109" s="17">
        <f>TRUNC(80*Q109*(1-L7)*(1-N109))</f>
        <v>80</v>
      </c>
      <c r="F109" s="17"/>
      <c r="G109" s="17">
        <f>TRUNC(20*Q109*(1-L7)*(1-N109))</f>
        <v>20</v>
      </c>
      <c r="H109" s="17"/>
      <c r="I109" s="17"/>
      <c r="J109" s="17"/>
      <c r="K109" s="17">
        <f>TRUNC(70*Q109*(1-L7)*(1-N109))</f>
        <v>70</v>
      </c>
      <c r="L109" s="18"/>
      <c r="M109" s="127" t="s">
        <v>174</v>
      </c>
      <c r="N109" s="124">
        <v>0</v>
      </c>
      <c r="O109" s="150">
        <f t="shared" ref="O109:O110" si="18">30000*Q109*(1-L$7)*(1-N109)</f>
        <v>30000</v>
      </c>
      <c r="P109" s="145">
        <f t="shared" si="16"/>
        <v>15</v>
      </c>
      <c r="Q109" s="146">
        <f t="shared" si="15"/>
        <v>1</v>
      </c>
    </row>
    <row r="110" spans="1:17" ht="15.75" thickBot="1" x14ac:dyDescent="0.3">
      <c r="A110" s="39" t="s">
        <v>87</v>
      </c>
      <c r="B110" s="116">
        <v>15</v>
      </c>
      <c r="C110" s="19"/>
      <c r="D110" s="17">
        <f>TRUNC(90*Q110*(1-L7)*(1-N110))</f>
        <v>90</v>
      </c>
      <c r="E110" s="17"/>
      <c r="F110" s="17"/>
      <c r="G110" s="17">
        <f>TRUNC(30*Q110*(1-L7)*(1-N110))</f>
        <v>30</v>
      </c>
      <c r="H110" s="17"/>
      <c r="I110" s="17"/>
      <c r="J110" s="17"/>
      <c r="K110" s="17">
        <f>TRUNC(50*Q110*(1-L7)*(1-N110))</f>
        <v>50</v>
      </c>
      <c r="L110" s="18"/>
      <c r="M110" s="127" t="s">
        <v>174</v>
      </c>
      <c r="N110" s="124">
        <v>0</v>
      </c>
      <c r="O110" s="150">
        <f t="shared" si="18"/>
        <v>30000</v>
      </c>
      <c r="P110" s="145">
        <f t="shared" si="16"/>
        <v>15</v>
      </c>
      <c r="Q110" s="146">
        <f t="shared" si="15"/>
        <v>1</v>
      </c>
    </row>
    <row r="111" spans="1:17" ht="15.75" thickBot="1" x14ac:dyDescent="0.3">
      <c r="A111" s="3" t="s">
        <v>140</v>
      </c>
      <c r="B111" s="119">
        <v>15</v>
      </c>
      <c r="C111" s="113"/>
      <c r="D111" s="89"/>
      <c r="E111" s="89">
        <f>TRUNC(70*Q111*(1-L7)*(1-N111))</f>
        <v>0</v>
      </c>
      <c r="F111" s="89"/>
      <c r="G111" s="89">
        <f>TRUNC(40*Q111*(1-L7)*(1-N111))</f>
        <v>0</v>
      </c>
      <c r="H111" s="89"/>
      <c r="I111" s="89"/>
      <c r="J111" s="89"/>
      <c r="K111" s="89">
        <f>TRUNC(100*Q111*(1-L7)*(1-N111))</f>
        <v>0</v>
      </c>
      <c r="L111" s="90"/>
      <c r="M111" s="127" t="s">
        <v>173</v>
      </c>
      <c r="N111" s="124">
        <v>0</v>
      </c>
      <c r="O111" s="150">
        <f>IF(E$6="Orsinium",60000*Q111*(1-L$7)*(1-N111),30000*Q111*(1-L$7)*(1-N111))</f>
        <v>0</v>
      </c>
      <c r="P111" s="145">
        <f t="shared" si="16"/>
        <v>0</v>
      </c>
      <c r="Q111" s="146">
        <f t="shared" si="15"/>
        <v>0</v>
      </c>
    </row>
    <row r="112" spans="1:17" ht="15.75" thickBot="1" x14ac:dyDescent="0.3">
      <c r="A112" s="3" t="s">
        <v>215</v>
      </c>
      <c r="B112" s="117" t="s">
        <v>166</v>
      </c>
      <c r="C112" s="91" t="s">
        <v>8</v>
      </c>
      <c r="D112" s="92" t="s">
        <v>9</v>
      </c>
      <c r="E112" s="92" t="s">
        <v>10</v>
      </c>
      <c r="F112" s="92" t="s">
        <v>137</v>
      </c>
      <c r="G112" s="92" t="s">
        <v>11</v>
      </c>
      <c r="H112" s="92" t="s">
        <v>138</v>
      </c>
      <c r="I112" s="92" t="s">
        <v>139</v>
      </c>
      <c r="J112" s="92" t="s">
        <v>12</v>
      </c>
      <c r="K112" s="92" t="s">
        <v>13</v>
      </c>
      <c r="L112" s="93" t="s">
        <v>105</v>
      </c>
      <c r="M112" s="93"/>
      <c r="N112" s="93"/>
      <c r="O112" s="151"/>
      <c r="P112" s="147"/>
      <c r="Q112" s="148"/>
    </row>
    <row r="113" spans="1:17" x14ac:dyDescent="0.25">
      <c r="A113" t="s">
        <v>142</v>
      </c>
      <c r="B113" s="115">
        <v>0</v>
      </c>
      <c r="C113" s="15"/>
      <c r="D113" s="15"/>
      <c r="E113" s="15">
        <f>TRUNC(10*Q113*(1-N113))</f>
        <v>0</v>
      </c>
      <c r="F113" s="15"/>
      <c r="G113" s="15"/>
      <c r="H113" s="15">
        <f>TRUNC(10*Q113*(1-N113))</f>
        <v>0</v>
      </c>
      <c r="I113" s="15"/>
      <c r="J113" s="15">
        <f>TRUNC(10*Q113*(1-N113))</f>
        <v>0</v>
      </c>
      <c r="K113" s="15"/>
      <c r="L113" s="16"/>
      <c r="M113" s="127" t="s">
        <v>173</v>
      </c>
      <c r="N113" s="124">
        <v>0</v>
      </c>
      <c r="O113" s="149">
        <f>IF(E$6="Strik",40000*Q113*(1-L$7)*(1-N113),0)</f>
        <v>0</v>
      </c>
      <c r="P113" s="145">
        <f t="shared" si="16"/>
        <v>0</v>
      </c>
      <c r="Q113" s="146">
        <f>IF(E$6=A113,IF(M113="Possédée",1,IF(M113="Assiégée",0.5,0)),0)</f>
        <v>0</v>
      </c>
    </row>
    <row r="114" spans="1:17" x14ac:dyDescent="0.25">
      <c r="A114" t="s">
        <v>143</v>
      </c>
      <c r="B114" s="116">
        <v>0</v>
      </c>
      <c r="C114" s="17"/>
      <c r="D114" s="17"/>
      <c r="E114" s="17">
        <f>TRUNC(10*Q114*(1-N114))</f>
        <v>0</v>
      </c>
      <c r="F114" s="17"/>
      <c r="G114" s="17"/>
      <c r="H114" s="17">
        <f>TRUNC(10*Q114*(1-N114))</f>
        <v>0</v>
      </c>
      <c r="I114" s="17"/>
      <c r="J114" s="17">
        <f>TRUNC(10*Q114*(1-N114))</f>
        <v>0</v>
      </c>
      <c r="K114" s="17"/>
      <c r="L114" s="18"/>
      <c r="M114" s="127" t="s">
        <v>173</v>
      </c>
      <c r="N114" s="124">
        <v>0</v>
      </c>
      <c r="O114" s="150">
        <f>IF(E$6="Stros M'Kai",40000*Q114*(1-L$7)*(1-N114),0)</f>
        <v>0</v>
      </c>
      <c r="P114" s="145">
        <f t="shared" si="16"/>
        <v>0</v>
      </c>
      <c r="Q114" s="146">
        <f t="shared" ref="Q114:Q118" si="19">IF(E$6=A114,IF(M114="Possédée",1,IF(M114="Assiégée",0.5,0)),0)</f>
        <v>0</v>
      </c>
    </row>
    <row r="115" spans="1:17" x14ac:dyDescent="0.25">
      <c r="A115" t="s">
        <v>144</v>
      </c>
      <c r="B115" s="116">
        <v>0</v>
      </c>
      <c r="C115" s="17"/>
      <c r="D115" s="17"/>
      <c r="E115" s="17">
        <f t="shared" ref="E115:E118" si="20">TRUNC(10*Q115*(1-N115))</f>
        <v>0</v>
      </c>
      <c r="F115" s="17"/>
      <c r="G115" s="17"/>
      <c r="H115" s="17">
        <f t="shared" ref="H115:H118" si="21">TRUNC(10*Q115*(1-N115))</f>
        <v>0</v>
      </c>
      <c r="I115" s="17"/>
      <c r="J115" s="17">
        <f t="shared" ref="J115:J118" si="22">TRUNC(10*Q115*(1-N115))</f>
        <v>0</v>
      </c>
      <c r="K115" s="17"/>
      <c r="L115" s="18"/>
      <c r="M115" s="127" t="s">
        <v>173</v>
      </c>
      <c r="N115" s="124">
        <v>0</v>
      </c>
      <c r="O115" s="150">
        <f>IF(E$6="Vivec",40000*Q115*(1-L$7)*(1-N115),0)</f>
        <v>0</v>
      </c>
      <c r="P115" s="145">
        <f t="shared" si="16"/>
        <v>0</v>
      </c>
      <c r="Q115" s="146">
        <f t="shared" si="19"/>
        <v>0</v>
      </c>
    </row>
    <row r="116" spans="1:17" x14ac:dyDescent="0.25">
      <c r="A116" t="s">
        <v>145</v>
      </c>
      <c r="B116" s="116">
        <v>0</v>
      </c>
      <c r="C116" s="17"/>
      <c r="D116" s="17"/>
      <c r="E116" s="17">
        <f t="shared" si="20"/>
        <v>0</v>
      </c>
      <c r="F116" s="17"/>
      <c r="G116" s="17"/>
      <c r="H116" s="17">
        <f t="shared" si="21"/>
        <v>0</v>
      </c>
      <c r="I116" s="17"/>
      <c r="J116" s="17">
        <f t="shared" si="22"/>
        <v>0</v>
      </c>
      <c r="K116" s="17"/>
      <c r="L116" s="18"/>
      <c r="M116" s="127" t="s">
        <v>173</v>
      </c>
      <c r="N116" s="124">
        <v>0</v>
      </c>
      <c r="O116" s="150">
        <f>IF(E$6="Sadrith Mora",40000*Q116*(1-L$7)*(1-N116),0)</f>
        <v>0</v>
      </c>
      <c r="P116" s="145">
        <f t="shared" si="16"/>
        <v>0</v>
      </c>
      <c r="Q116" s="146">
        <f t="shared" si="19"/>
        <v>0</v>
      </c>
    </row>
    <row r="117" spans="1:17" x14ac:dyDescent="0.25">
      <c r="A117" t="s">
        <v>146</v>
      </c>
      <c r="B117" s="116">
        <v>0</v>
      </c>
      <c r="C117" s="17"/>
      <c r="D117" s="17"/>
      <c r="E117" s="17">
        <f t="shared" si="20"/>
        <v>0</v>
      </c>
      <c r="F117" s="17"/>
      <c r="G117" s="17"/>
      <c r="H117" s="17">
        <f t="shared" si="21"/>
        <v>0</v>
      </c>
      <c r="I117" s="17"/>
      <c r="J117" s="17">
        <f t="shared" si="22"/>
        <v>0</v>
      </c>
      <c r="K117" s="17"/>
      <c r="L117" s="18"/>
      <c r="M117" s="127" t="s">
        <v>173</v>
      </c>
      <c r="N117" s="124">
        <v>0</v>
      </c>
      <c r="O117" s="150">
        <f>IF(E$6="Dagon Fel",40000*Q117*(1-L$7)*(1-N117),0)</f>
        <v>0</v>
      </c>
      <c r="P117" s="145">
        <f t="shared" si="16"/>
        <v>0</v>
      </c>
      <c r="Q117" s="146">
        <f t="shared" si="19"/>
        <v>0</v>
      </c>
    </row>
    <row r="118" spans="1:17" ht="15.75" thickBot="1" x14ac:dyDescent="0.3">
      <c r="A118" s="40" t="s">
        <v>147</v>
      </c>
      <c r="B118" s="118">
        <v>0</v>
      </c>
      <c r="C118" s="21"/>
      <c r="D118" s="21"/>
      <c r="E118" s="17">
        <f t="shared" si="20"/>
        <v>0</v>
      </c>
      <c r="F118" s="21"/>
      <c r="G118" s="21"/>
      <c r="H118" s="17">
        <f t="shared" si="21"/>
        <v>0</v>
      </c>
      <c r="I118" s="21"/>
      <c r="J118" s="17">
        <f t="shared" si="22"/>
        <v>0</v>
      </c>
      <c r="K118" s="21"/>
      <c r="L118" s="22"/>
      <c r="M118" s="128" t="s">
        <v>173</v>
      </c>
      <c r="N118" s="125">
        <v>0</v>
      </c>
      <c r="O118" s="150">
        <f>IF(E$6="Port Telvannis",40000*Q118*(1-L$7)*(1-N118),0)</f>
        <v>0</v>
      </c>
      <c r="P118" s="145">
        <f t="shared" si="16"/>
        <v>0</v>
      </c>
      <c r="Q118" s="146">
        <f t="shared" si="19"/>
        <v>0</v>
      </c>
    </row>
    <row r="119" spans="1:17" ht="15.75" thickBot="1" x14ac:dyDescent="0.3">
      <c r="A119" s="132" t="s">
        <v>202</v>
      </c>
      <c r="B119" s="119">
        <f>SUM(P27:P118)</f>
        <v>45</v>
      </c>
      <c r="C119" s="89">
        <f>SUM(C27:C118)</f>
        <v>0</v>
      </c>
      <c r="D119" s="89">
        <f>SUM(D27:D118)</f>
        <v>90</v>
      </c>
      <c r="E119" s="89">
        <f>SUM(E27:E118)</f>
        <v>170</v>
      </c>
      <c r="F119" s="89">
        <f t="shared" ref="F119:L119" si="23">SUM(F27:F118)</f>
        <v>0</v>
      </c>
      <c r="G119" s="89">
        <f t="shared" si="23"/>
        <v>50</v>
      </c>
      <c r="H119" s="89">
        <f t="shared" si="23"/>
        <v>0</v>
      </c>
      <c r="I119" s="89">
        <f t="shared" si="23"/>
        <v>0</v>
      </c>
      <c r="J119" s="89">
        <f t="shared" si="23"/>
        <v>0</v>
      </c>
      <c r="K119" s="89">
        <f t="shared" si="23"/>
        <v>240</v>
      </c>
      <c r="L119" s="89">
        <f t="shared" si="23"/>
        <v>0</v>
      </c>
      <c r="M119" s="133"/>
      <c r="N119" s="134"/>
      <c r="O119" s="151">
        <f>SUM(O27:O118)</f>
        <v>120000</v>
      </c>
      <c r="P119" s="147"/>
      <c r="Q119" s="148"/>
    </row>
    <row r="120" spans="1:17" x14ac:dyDescent="0.25">
      <c r="A120" s="131" t="s">
        <v>216</v>
      </c>
    </row>
    <row r="122" spans="1:17" x14ac:dyDescent="0.25">
      <c r="A122" t="s">
        <v>160</v>
      </c>
    </row>
    <row r="123" spans="1:17" x14ac:dyDescent="0.25">
      <c r="A123" t="s">
        <v>22</v>
      </c>
      <c r="D123" t="s">
        <v>199</v>
      </c>
    </row>
    <row r="124" spans="1:17" x14ac:dyDescent="0.25">
      <c r="A124" t="s">
        <v>23</v>
      </c>
      <c r="B124" s="122">
        <v>0</v>
      </c>
      <c r="C124" t="s">
        <v>178</v>
      </c>
      <c r="D124" t="s">
        <v>200</v>
      </c>
      <c r="E124">
        <f>COUNTIF(M27:M111,"Possédée")+COUNTIF(M27:M111,"Assiégée")</f>
        <v>3</v>
      </c>
    </row>
    <row r="125" spans="1:17" x14ac:dyDescent="0.25">
      <c r="A125" t="s">
        <v>24</v>
      </c>
      <c r="B125" s="122">
        <v>0.05</v>
      </c>
      <c r="C125" t="s">
        <v>179</v>
      </c>
      <c r="D125" t="s">
        <v>217</v>
      </c>
      <c r="E125">
        <f>COUNTIF(M113:M118,"Possédée")+COUNTIF(M113:M118,"Assiégée")</f>
        <v>0</v>
      </c>
    </row>
    <row r="126" spans="1:17" x14ac:dyDescent="0.25">
      <c r="A126" t="s">
        <v>33</v>
      </c>
      <c r="B126" s="122">
        <v>0.1</v>
      </c>
      <c r="C126" t="s">
        <v>180</v>
      </c>
      <c r="D126" s="97" t="s">
        <v>218</v>
      </c>
      <c r="E126">
        <f>COUNTIF(M27:M118,"Possédée")+COUNTIF(M27:M118,"Assiégée")</f>
        <v>3</v>
      </c>
    </row>
    <row r="127" spans="1:17" x14ac:dyDescent="0.25">
      <c r="A127" t="s">
        <v>41</v>
      </c>
      <c r="B127" s="122">
        <v>0.15</v>
      </c>
      <c r="C127" t="s">
        <v>181</v>
      </c>
      <c r="D127" t="s">
        <v>201</v>
      </c>
      <c r="E127">
        <f>COUNTIF(M27:M118,"Assiégée")</f>
        <v>0</v>
      </c>
    </row>
    <row r="128" spans="1:17" x14ac:dyDescent="0.25">
      <c r="A128" t="s">
        <v>49</v>
      </c>
      <c r="B128" s="122">
        <v>0.2</v>
      </c>
      <c r="C128" t="s">
        <v>182</v>
      </c>
    </row>
    <row r="129" spans="1:3" x14ac:dyDescent="0.25">
      <c r="A129" t="s">
        <v>59</v>
      </c>
      <c r="B129" s="122">
        <v>0.25</v>
      </c>
      <c r="C129" t="s">
        <v>183</v>
      </c>
    </row>
    <row r="130" spans="1:3" x14ac:dyDescent="0.25">
      <c r="A130" t="s">
        <v>68</v>
      </c>
      <c r="B130" s="122">
        <v>0.3</v>
      </c>
      <c r="C130" t="s">
        <v>184</v>
      </c>
    </row>
    <row r="131" spans="1:3" x14ac:dyDescent="0.25">
      <c r="A131" t="s">
        <v>77</v>
      </c>
      <c r="B131" s="122">
        <v>0.35</v>
      </c>
      <c r="C131" t="s">
        <v>185</v>
      </c>
    </row>
    <row r="132" spans="1:3" x14ac:dyDescent="0.25">
      <c r="A132" t="s">
        <v>86</v>
      </c>
      <c r="B132" s="122">
        <v>0.4</v>
      </c>
      <c r="C132" t="s">
        <v>186</v>
      </c>
    </row>
    <row r="133" spans="1:3" x14ac:dyDescent="0.25">
      <c r="A133" t="s">
        <v>140</v>
      </c>
      <c r="B133" s="122">
        <v>0.45</v>
      </c>
      <c r="C133" t="s">
        <v>187</v>
      </c>
    </row>
    <row r="134" spans="1:3" x14ac:dyDescent="0.25">
      <c r="A134" t="s">
        <v>142</v>
      </c>
      <c r="B134" s="122">
        <v>0.5</v>
      </c>
      <c r="C134" t="s">
        <v>188</v>
      </c>
    </row>
    <row r="135" spans="1:3" x14ac:dyDescent="0.25">
      <c r="A135" t="s">
        <v>143</v>
      </c>
      <c r="B135" s="122">
        <v>0.55000000000000004</v>
      </c>
      <c r="C135" t="s">
        <v>189</v>
      </c>
    </row>
    <row r="136" spans="1:3" x14ac:dyDescent="0.25">
      <c r="A136" t="s">
        <v>144</v>
      </c>
      <c r="B136" s="122">
        <v>0.6</v>
      </c>
      <c r="C136" t="s">
        <v>190</v>
      </c>
    </row>
    <row r="137" spans="1:3" x14ac:dyDescent="0.25">
      <c r="A137" t="s">
        <v>145</v>
      </c>
      <c r="B137" s="122">
        <v>0.65</v>
      </c>
      <c r="C137" t="s">
        <v>191</v>
      </c>
    </row>
    <row r="138" spans="1:3" x14ac:dyDescent="0.25">
      <c r="A138" t="s">
        <v>146</v>
      </c>
      <c r="B138" s="122">
        <v>0.7</v>
      </c>
      <c r="C138" t="s">
        <v>192</v>
      </c>
    </row>
    <row r="139" spans="1:3" x14ac:dyDescent="0.25">
      <c r="A139" t="s">
        <v>147</v>
      </c>
      <c r="B139" s="122">
        <v>0.75</v>
      </c>
      <c r="C139" t="s">
        <v>193</v>
      </c>
    </row>
    <row r="140" spans="1:3" x14ac:dyDescent="0.25">
      <c r="A140" t="s">
        <v>219</v>
      </c>
      <c r="B140" s="122">
        <v>0.8</v>
      </c>
      <c r="C140" t="s">
        <v>194</v>
      </c>
    </row>
    <row r="141" spans="1:3" x14ac:dyDescent="0.25">
      <c r="B141" s="122">
        <v>0.85</v>
      </c>
      <c r="C141" t="s">
        <v>195</v>
      </c>
    </row>
    <row r="142" spans="1:3" x14ac:dyDescent="0.25">
      <c r="B142" s="122">
        <v>0.9</v>
      </c>
      <c r="C142" t="s">
        <v>196</v>
      </c>
    </row>
    <row r="143" spans="1:3" x14ac:dyDescent="0.25">
      <c r="B143" s="122">
        <v>0.95</v>
      </c>
      <c r="C143" t="s">
        <v>197</v>
      </c>
    </row>
    <row r="144" spans="1:3" x14ac:dyDescent="0.25">
      <c r="B144" s="122">
        <v>1</v>
      </c>
      <c r="C144" t="s">
        <v>198</v>
      </c>
    </row>
    <row r="145" spans="3:3" x14ac:dyDescent="0.25">
      <c r="C145" t="s">
        <v>209</v>
      </c>
    </row>
    <row r="146" spans="3:3" x14ac:dyDescent="0.25">
      <c r="C146" t="s">
        <v>210</v>
      </c>
    </row>
    <row r="147" spans="3:3" x14ac:dyDescent="0.25">
      <c r="C147" t="s">
        <v>211</v>
      </c>
    </row>
    <row r="148" spans="3:3" x14ac:dyDescent="0.25">
      <c r="C148" t="s">
        <v>212</v>
      </c>
    </row>
  </sheetData>
  <mergeCells count="6">
    <mergeCell ref="P25:Q25"/>
    <mergeCell ref="E6:G6"/>
    <mergeCell ref="H6:K6"/>
    <mergeCell ref="C7:D7"/>
    <mergeCell ref="H7:K7"/>
    <mergeCell ref="C25:L25"/>
  </mergeCells>
  <conditionalFormatting sqref="C21:L21">
    <cfRule type="cellIs" dxfId="23" priority="5" operator="greaterThanOrEqual">
      <formula>0</formula>
    </cfRule>
    <cfRule type="cellIs" dxfId="22" priority="6" operator="lessThan">
      <formula>0</formula>
    </cfRule>
  </conditionalFormatting>
  <conditionalFormatting sqref="C13:L13">
    <cfRule type="containsText" dxfId="21" priority="7" operator="containsText" text="Oui">
      <formula>NOT(ISERROR(SEARCH("Oui",C13)))</formula>
    </cfRule>
    <cfRule type="containsText" dxfId="20" priority="8" operator="containsText" text="Non">
      <formula>NOT(ISERROR(SEARCH("Non",C13)))</formula>
    </cfRule>
  </conditionalFormatting>
  <conditionalFormatting sqref="M27:M34 M36:M43 M45:M53 M55:M61 M63:M70 M72:M79 M81:M88 M90:M97 M99:M106 M108:M111 M113:M119">
    <cfRule type="containsText" dxfId="19" priority="2" operator="containsText" text="Non Possédée">
      <formula>NOT(ISERROR(SEARCH("Non Possédée",M27)))</formula>
    </cfRule>
    <cfRule type="containsText" dxfId="18" priority="3" operator="containsText" text="Assiégée">
      <formula>NOT(ISERROR(SEARCH("Assiégée",M27)))</formula>
    </cfRule>
    <cfRule type="containsText" dxfId="17" priority="4" operator="containsText" text="Possédée">
      <formula>NOT(ISERROR(SEARCH("Possédée",M27)))</formula>
    </cfRule>
  </conditionalFormatting>
  <conditionalFormatting sqref="N27:N34 N36:N43 N45:N53 N63:N70 N72:N79 N81:N88 N90:N97 N99:N106 N108:N111 N113:N119 N55:N61">
    <cfRule type="cellIs" dxfId="16" priority="1" operator="greaterThan">
      <formula>0</formula>
    </cfRule>
  </conditionalFormatting>
  <dataValidations count="4">
    <dataValidation type="list" errorStyle="information" allowBlank="1" showInputMessage="1" showErrorMessage="1" sqref="D8 E7">
      <formula1>Année</formula1>
    </dataValidation>
    <dataValidation type="list" allowBlank="1" showInputMessage="1" showErrorMessage="1" sqref="N108:N111 N27:N34 N36:N43 N113:N119 N45:N53 N63:N70 N72:N79 N81:N88 N90:N97 N99:N106 N55:N61">
      <formula1>Malus</formula1>
    </dataValidation>
    <dataValidation type="list" allowBlank="1" showInputMessage="1" showErrorMessage="1" sqref="M99:M106 M27:M34 M36:M43 M45:M53 M55:M61 M63:M70 M72:M79 M81:M88 M90:M97 M108:M111 M113:M119">
      <formula1>"Possédée,Assiégée,Non Possédée"</formula1>
    </dataValidation>
    <dataValidation type="list" allowBlank="1" showInputMessage="1" showErrorMessage="1" sqref="E6">
      <formula1>Provinces</formula1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8"/>
  <sheetViews>
    <sheetView workbookViewId="0">
      <selection activeCell="O1" sqref="O1"/>
    </sheetView>
  </sheetViews>
  <sheetFormatPr baseColWidth="10" defaultRowHeight="15" x14ac:dyDescent="0.25"/>
  <cols>
    <col min="1" max="1" width="21" customWidth="1"/>
    <col min="2" max="2" width="6.28515625" customWidth="1"/>
    <col min="13" max="13" width="13.85546875" customWidth="1"/>
    <col min="14" max="14" width="9.85546875" customWidth="1"/>
    <col min="15" max="15" width="10.140625" customWidth="1"/>
    <col min="16" max="16" width="12" customWidth="1"/>
    <col min="17" max="17" width="17.28515625" customWidth="1"/>
  </cols>
  <sheetData>
    <row r="1" spans="1:17" ht="21" x14ac:dyDescent="0.35">
      <c r="A1" s="2" t="s">
        <v>170</v>
      </c>
      <c r="B1" s="1"/>
    </row>
    <row r="3" spans="1:17" x14ac:dyDescent="0.25">
      <c r="A3" t="s">
        <v>141</v>
      </c>
    </row>
    <row r="4" spans="1:17" x14ac:dyDescent="0.25">
      <c r="A4" t="s">
        <v>220</v>
      </c>
    </row>
    <row r="6" spans="1:17" x14ac:dyDescent="0.25">
      <c r="A6" s="94" t="s">
        <v>148</v>
      </c>
      <c r="B6" s="95"/>
      <c r="C6" s="59" t="s">
        <v>149</v>
      </c>
      <c r="E6" s="156" t="s">
        <v>140</v>
      </c>
      <c r="F6" s="157"/>
      <c r="G6" s="158"/>
      <c r="H6" s="164" t="s">
        <v>207</v>
      </c>
      <c r="I6" s="165"/>
      <c r="J6" s="165"/>
      <c r="K6" s="163"/>
      <c r="L6" s="139">
        <v>8</v>
      </c>
      <c r="O6" s="137" t="s">
        <v>206</v>
      </c>
      <c r="Q6" s="97"/>
    </row>
    <row r="7" spans="1:17" x14ac:dyDescent="0.25">
      <c r="A7" s="98" t="s">
        <v>150</v>
      </c>
      <c r="B7" s="96"/>
      <c r="C7" s="166" t="s">
        <v>151</v>
      </c>
      <c r="D7" s="167"/>
      <c r="E7" s="138" t="s">
        <v>178</v>
      </c>
      <c r="F7" s="97"/>
      <c r="H7" s="162" t="s">
        <v>152</v>
      </c>
      <c r="I7" s="162"/>
      <c r="J7" s="162"/>
      <c r="K7" s="163"/>
      <c r="L7" s="140">
        <f>1-(COUNTIF(C13:L13,"Oui" )/10)</f>
        <v>0</v>
      </c>
      <c r="O7" s="153" t="s">
        <v>221</v>
      </c>
      <c r="P7" s="97"/>
      <c r="Q7" s="97"/>
    </row>
    <row r="8" spans="1:17" ht="15.75" thickBot="1" x14ac:dyDescent="0.3">
      <c r="A8" s="98"/>
      <c r="B8" s="96"/>
      <c r="H8" t="s">
        <v>208</v>
      </c>
      <c r="L8" s="152">
        <f>O119</f>
        <v>60000</v>
      </c>
      <c r="P8" s="97"/>
      <c r="Q8" s="97"/>
    </row>
    <row r="9" spans="1:17" ht="15.75" thickBot="1" x14ac:dyDescent="0.3">
      <c r="A9" s="97"/>
      <c r="B9" s="97"/>
      <c r="C9" s="100" t="s">
        <v>8</v>
      </c>
      <c r="D9" s="101" t="s">
        <v>9</v>
      </c>
      <c r="E9" s="101" t="s">
        <v>10</v>
      </c>
      <c r="F9" s="101" t="s">
        <v>137</v>
      </c>
      <c r="G9" s="101" t="s">
        <v>11</v>
      </c>
      <c r="H9" s="101" t="s">
        <v>138</v>
      </c>
      <c r="I9" s="101" t="s">
        <v>139</v>
      </c>
      <c r="J9" s="101" t="s">
        <v>12</v>
      </c>
      <c r="K9" s="101" t="s">
        <v>13</v>
      </c>
      <c r="L9" s="102" t="s">
        <v>105</v>
      </c>
    </row>
    <row r="10" spans="1:17" x14ac:dyDescent="0.25">
      <c r="A10" s="103" t="s">
        <v>153</v>
      </c>
      <c r="B10" s="97"/>
      <c r="C10" s="136">
        <v>120</v>
      </c>
      <c r="D10" s="104">
        <v>120</v>
      </c>
      <c r="E10" s="104">
        <v>120</v>
      </c>
      <c r="F10" s="104">
        <v>120</v>
      </c>
      <c r="G10" s="104">
        <v>120</v>
      </c>
      <c r="H10" s="104">
        <v>120</v>
      </c>
      <c r="I10" s="104">
        <v>120</v>
      </c>
      <c r="J10" s="104">
        <v>120</v>
      </c>
      <c r="K10" s="104">
        <v>120</v>
      </c>
      <c r="L10" s="135">
        <v>120</v>
      </c>
    </row>
    <row r="11" spans="1:17" x14ac:dyDescent="0.25">
      <c r="A11" s="103" t="s">
        <v>154</v>
      </c>
      <c r="B11" s="97"/>
      <c r="C11" s="105">
        <f>15*L6</f>
        <v>120</v>
      </c>
      <c r="D11" s="105">
        <f>15*L6</f>
        <v>120</v>
      </c>
      <c r="E11" s="105">
        <f>15*L6</f>
        <v>120</v>
      </c>
      <c r="F11" s="105">
        <f>15*L6</f>
        <v>120</v>
      </c>
      <c r="G11" s="105">
        <f>15*L6</f>
        <v>120</v>
      </c>
      <c r="H11" s="105">
        <f>15*L6</f>
        <v>120</v>
      </c>
      <c r="I11" s="105">
        <f>15*L6</f>
        <v>120</v>
      </c>
      <c r="J11" s="105">
        <f>15*L6</f>
        <v>120</v>
      </c>
      <c r="K11" s="105">
        <f>15*L6</f>
        <v>120</v>
      </c>
      <c r="L11" s="105">
        <f>15*L6</f>
        <v>120</v>
      </c>
    </row>
    <row r="12" spans="1:17" x14ac:dyDescent="0.25">
      <c r="A12" s="103" t="s">
        <v>155</v>
      </c>
      <c r="B12" s="97"/>
      <c r="C12" s="106">
        <f>C119</f>
        <v>0</v>
      </c>
      <c r="D12" s="106">
        <f>D119</f>
        <v>0</v>
      </c>
      <c r="E12" s="106">
        <f t="shared" ref="E12:L12" si="0">E119</f>
        <v>70</v>
      </c>
      <c r="F12" s="106">
        <f t="shared" si="0"/>
        <v>0</v>
      </c>
      <c r="G12" s="106">
        <f t="shared" si="0"/>
        <v>40</v>
      </c>
      <c r="H12" s="106">
        <f t="shared" si="0"/>
        <v>0</v>
      </c>
      <c r="I12" s="106">
        <f t="shared" si="0"/>
        <v>0</v>
      </c>
      <c r="J12" s="106">
        <f t="shared" si="0"/>
        <v>0</v>
      </c>
      <c r="K12" s="106">
        <f t="shared" si="0"/>
        <v>100</v>
      </c>
      <c r="L12" s="106">
        <f t="shared" si="0"/>
        <v>0</v>
      </c>
    </row>
    <row r="13" spans="1:17" x14ac:dyDescent="0.25">
      <c r="A13" s="88" t="s">
        <v>156</v>
      </c>
      <c r="B13" s="97"/>
      <c r="C13" s="107" t="str">
        <f>IF((C10-C11) &gt;= 0,"Oui","Non")</f>
        <v>Oui</v>
      </c>
      <c r="D13" s="107" t="str">
        <f t="shared" ref="D13:L13" si="1">IF((D10-D11) &gt;= 0,"Oui","Non")</f>
        <v>Oui</v>
      </c>
      <c r="E13" s="107" t="str">
        <f t="shared" si="1"/>
        <v>Oui</v>
      </c>
      <c r="F13" s="107" t="str">
        <f t="shared" si="1"/>
        <v>Oui</v>
      </c>
      <c r="G13" s="107" t="str">
        <f t="shared" si="1"/>
        <v>Oui</v>
      </c>
      <c r="H13" s="107" t="str">
        <f t="shared" si="1"/>
        <v>Oui</v>
      </c>
      <c r="I13" s="107" t="str">
        <f t="shared" si="1"/>
        <v>Oui</v>
      </c>
      <c r="J13" s="107" t="str">
        <f t="shared" si="1"/>
        <v>Oui</v>
      </c>
      <c r="K13" s="107" t="str">
        <f t="shared" si="1"/>
        <v>Oui</v>
      </c>
      <c r="L13" s="107" t="str">
        <f t="shared" si="1"/>
        <v>Oui</v>
      </c>
    </row>
    <row r="14" spans="1:17" x14ac:dyDescent="0.25">
      <c r="A14" s="103" t="s">
        <v>157</v>
      </c>
      <c r="B14" s="97"/>
      <c r="C14" s="108">
        <f>IF(C13="OUI",C10-C11+C12,C10+C12)</f>
        <v>0</v>
      </c>
      <c r="D14" s="108">
        <f>IF(D13="OUI",D10-D11+D12,D10+D12)</f>
        <v>0</v>
      </c>
      <c r="E14" s="108">
        <f t="shared" ref="E14:L14" si="2">IF(E13="OUI",E10-E11+E12,E10+E12)</f>
        <v>70</v>
      </c>
      <c r="F14" s="108">
        <f t="shared" si="2"/>
        <v>0</v>
      </c>
      <c r="G14" s="108">
        <f t="shared" si="2"/>
        <v>40</v>
      </c>
      <c r="H14" s="108">
        <f t="shared" si="2"/>
        <v>0</v>
      </c>
      <c r="I14" s="108">
        <f t="shared" si="2"/>
        <v>0</v>
      </c>
      <c r="J14" s="108">
        <f t="shared" si="2"/>
        <v>0</v>
      </c>
      <c r="K14" s="108">
        <f t="shared" si="2"/>
        <v>100</v>
      </c>
      <c r="L14" s="108">
        <f t="shared" si="2"/>
        <v>0</v>
      </c>
    </row>
    <row r="15" spans="1:17" x14ac:dyDescent="0.25">
      <c r="A15" s="103" t="s">
        <v>162</v>
      </c>
      <c r="B15" s="97"/>
      <c r="C15" s="142"/>
      <c r="D15" s="142"/>
      <c r="E15" s="142"/>
      <c r="F15" s="142"/>
      <c r="G15" s="142"/>
      <c r="H15" s="142"/>
      <c r="I15" s="142"/>
      <c r="J15" s="142"/>
      <c r="K15" s="142"/>
      <c r="L15" s="142"/>
    </row>
    <row r="16" spans="1:17" x14ac:dyDescent="0.25">
      <c r="A16" s="103" t="s">
        <v>165</v>
      </c>
      <c r="B16" s="97"/>
      <c r="C16" s="142"/>
      <c r="D16" s="142"/>
      <c r="E16" s="142"/>
      <c r="F16" s="142"/>
      <c r="G16" s="142"/>
      <c r="H16" s="142"/>
      <c r="I16" s="142"/>
      <c r="J16" s="142"/>
      <c r="K16" s="142"/>
      <c r="L16" s="142"/>
    </row>
    <row r="17" spans="1:17" x14ac:dyDescent="0.25">
      <c r="A17" s="103" t="s">
        <v>163</v>
      </c>
      <c r="B17" s="97"/>
      <c r="C17" s="141"/>
      <c r="D17" s="141"/>
      <c r="E17" s="141"/>
      <c r="F17" s="141"/>
      <c r="G17" s="141"/>
      <c r="H17" s="141"/>
      <c r="I17" s="141"/>
      <c r="J17" s="141"/>
      <c r="K17" s="141"/>
      <c r="L17" s="141"/>
    </row>
    <row r="18" spans="1:17" x14ac:dyDescent="0.25">
      <c r="A18" s="103" t="s">
        <v>164</v>
      </c>
      <c r="B18" s="97"/>
      <c r="C18" s="141"/>
      <c r="D18" s="141"/>
      <c r="E18" s="141"/>
      <c r="F18" s="141"/>
      <c r="G18" s="141"/>
      <c r="H18" s="141"/>
      <c r="I18" s="141"/>
      <c r="J18" s="141"/>
      <c r="K18" s="141"/>
      <c r="L18" s="141"/>
    </row>
    <row r="19" spans="1:17" x14ac:dyDescent="0.25">
      <c r="A19" s="109" t="s">
        <v>158</v>
      </c>
      <c r="B19" s="97"/>
      <c r="C19" s="110">
        <f>C14+C15+C16-C17-C18</f>
        <v>0</v>
      </c>
      <c r="D19" s="110">
        <f>D14+D15+D16-D17-D18</f>
        <v>0</v>
      </c>
      <c r="E19" s="110">
        <f t="shared" ref="E19:K19" si="3">E14+E15+E16-E17-E18</f>
        <v>70</v>
      </c>
      <c r="F19" s="110">
        <f>F14+F15+F16-F17-F18</f>
        <v>0</v>
      </c>
      <c r="G19" s="110">
        <f t="shared" si="3"/>
        <v>40</v>
      </c>
      <c r="H19" s="110">
        <f t="shared" si="3"/>
        <v>0</v>
      </c>
      <c r="I19" s="110">
        <f t="shared" si="3"/>
        <v>0</v>
      </c>
      <c r="J19" s="110">
        <f t="shared" si="3"/>
        <v>0</v>
      </c>
      <c r="K19" s="110">
        <f t="shared" si="3"/>
        <v>100</v>
      </c>
      <c r="L19" s="110">
        <f>L14+L15+L16-L17-L18</f>
        <v>0</v>
      </c>
    </row>
    <row r="20" spans="1:17" x14ac:dyDescent="0.25">
      <c r="A20" s="103" t="s">
        <v>161</v>
      </c>
      <c r="B20" s="97"/>
      <c r="C20" s="111">
        <f>(COUNTIF(M27:M111,"Possédée")+COUNTIF(M27:M111,"Assiégée"))*15</f>
        <v>15</v>
      </c>
      <c r="D20" s="111">
        <f>(COUNTIF(M27:M111,"Possédée")+COUNTIF(M27:M111,"Assiégée"))*15</f>
        <v>15</v>
      </c>
      <c r="E20" s="111">
        <f>(COUNTIF(M27:M111,"Possédée")+COUNTIF(M27:M111,"Assiégée"))*15</f>
        <v>15</v>
      </c>
      <c r="F20" s="111">
        <f>(COUNTIF(M27:M111,"Possédée")+COUNTIF(M27:M111,"Assiégée"))*15</f>
        <v>15</v>
      </c>
      <c r="G20" s="111">
        <f>(COUNTIF(M27:M111,"Possédée")+COUNTIF(M27:M111,"Assiégée"))*15</f>
        <v>15</v>
      </c>
      <c r="H20" s="111">
        <f>(COUNTIF(M27:M111,"Possédée")+COUNTIF(M27:M111,"Assiégée"))*15</f>
        <v>15</v>
      </c>
      <c r="I20" s="111">
        <f>(COUNTIF(M27:M111,"Possédée")+COUNTIF(M27:M111,"Assiégée"))*15</f>
        <v>15</v>
      </c>
      <c r="J20" s="111">
        <f>(COUNTIF(M27:M111,"Possédée")+COUNTIF(M27:M111,"Assiégée"))*15</f>
        <v>15</v>
      </c>
      <c r="K20" s="111">
        <f>(COUNTIF(M27:M111,"Possédée")+COUNTIF(M27:M111,"Assiégée"))*15</f>
        <v>15</v>
      </c>
      <c r="L20" s="111">
        <f>(COUNTIF(M27:M111,"Possédée")+COUNTIF(M27:M111,"Assiégée"))*15</f>
        <v>15</v>
      </c>
    </row>
    <row r="21" spans="1:17" x14ac:dyDescent="0.25">
      <c r="A21" s="103" t="s">
        <v>159</v>
      </c>
      <c r="B21" s="97"/>
      <c r="C21" s="112">
        <f>C19-C20</f>
        <v>-15</v>
      </c>
      <c r="D21" s="112">
        <f t="shared" ref="D21:L21" si="4">D19-D20</f>
        <v>-15</v>
      </c>
      <c r="E21" s="112">
        <f>E19-E20</f>
        <v>55</v>
      </c>
      <c r="F21" s="112">
        <f>F19-F20</f>
        <v>-15</v>
      </c>
      <c r="G21" s="112">
        <f t="shared" si="4"/>
        <v>25</v>
      </c>
      <c r="H21" s="112">
        <f t="shared" si="4"/>
        <v>-15</v>
      </c>
      <c r="I21" s="112">
        <f t="shared" si="4"/>
        <v>-15</v>
      </c>
      <c r="J21" s="112">
        <f t="shared" si="4"/>
        <v>-15</v>
      </c>
      <c r="K21" s="112">
        <f t="shared" si="4"/>
        <v>85</v>
      </c>
      <c r="L21" s="112">
        <f t="shared" si="4"/>
        <v>-15</v>
      </c>
    </row>
    <row r="22" spans="1:17" x14ac:dyDescent="0.25">
      <c r="A22" s="103"/>
      <c r="B22" s="97"/>
    </row>
    <row r="23" spans="1:17" x14ac:dyDescent="0.25">
      <c r="O23" s="99" t="s">
        <v>176</v>
      </c>
    </row>
    <row r="24" spans="1:17" ht="15.75" thickBot="1" x14ac:dyDescent="0.3">
      <c r="A24" s="114" t="s">
        <v>160</v>
      </c>
      <c r="H24" s="97"/>
      <c r="I24" s="97"/>
      <c r="J24" s="97"/>
    </row>
    <row r="25" spans="1:17" ht="15.75" thickBot="1" x14ac:dyDescent="0.3">
      <c r="A25" s="121" t="s">
        <v>168</v>
      </c>
      <c r="B25" s="75" t="s">
        <v>167</v>
      </c>
      <c r="C25" s="159" t="s">
        <v>169</v>
      </c>
      <c r="D25" s="160"/>
      <c r="E25" s="160"/>
      <c r="F25" s="160"/>
      <c r="G25" s="160"/>
      <c r="H25" s="160"/>
      <c r="I25" s="160"/>
      <c r="J25" s="160"/>
      <c r="K25" s="160"/>
      <c r="L25" s="161"/>
      <c r="M25" s="129" t="s">
        <v>171</v>
      </c>
      <c r="N25" s="115" t="s">
        <v>172</v>
      </c>
      <c r="O25" s="129" t="s">
        <v>213</v>
      </c>
      <c r="P25" s="154" t="s">
        <v>203</v>
      </c>
      <c r="Q25" s="155"/>
    </row>
    <row r="26" spans="1:17" ht="15.75" thickBot="1" x14ac:dyDescent="0.3">
      <c r="A26" s="3" t="s">
        <v>22</v>
      </c>
      <c r="B26" s="120" t="s">
        <v>166</v>
      </c>
      <c r="C26" s="91" t="s">
        <v>8</v>
      </c>
      <c r="D26" s="92" t="s">
        <v>9</v>
      </c>
      <c r="E26" s="92" t="s">
        <v>10</v>
      </c>
      <c r="F26" s="92" t="s">
        <v>137</v>
      </c>
      <c r="G26" s="92" t="s">
        <v>11</v>
      </c>
      <c r="H26" s="92" t="s">
        <v>138</v>
      </c>
      <c r="I26" s="92" t="s">
        <v>139</v>
      </c>
      <c r="J26" s="92" t="s">
        <v>12</v>
      </c>
      <c r="K26" s="92" t="s">
        <v>13</v>
      </c>
      <c r="L26" s="93" t="s">
        <v>105</v>
      </c>
      <c r="M26" s="130" t="s">
        <v>175</v>
      </c>
      <c r="N26" s="118" t="s">
        <v>177</v>
      </c>
      <c r="O26" s="130" t="s">
        <v>214</v>
      </c>
      <c r="P26" s="147" t="s">
        <v>204</v>
      </c>
      <c r="Q26" s="148" t="s">
        <v>205</v>
      </c>
    </row>
    <row r="27" spans="1:17" x14ac:dyDescent="0.25">
      <c r="A27" t="s">
        <v>0</v>
      </c>
      <c r="B27" s="115">
        <v>15</v>
      </c>
      <c r="C27" s="15"/>
      <c r="D27" s="15"/>
      <c r="E27" s="15"/>
      <c r="F27" s="15"/>
      <c r="G27" s="15"/>
      <c r="H27" s="15"/>
      <c r="I27" s="15">
        <f>TRUNC(90*Q27*(1-L7)*(1-N27))</f>
        <v>0</v>
      </c>
      <c r="J27" s="15"/>
      <c r="K27" s="15"/>
      <c r="L27" s="16">
        <f>TRUNC(120*Q27*(1-L7)*(1-N27))</f>
        <v>0</v>
      </c>
      <c r="M27" s="126" t="s">
        <v>173</v>
      </c>
      <c r="N27" s="123">
        <v>0</v>
      </c>
      <c r="O27" s="149">
        <f>IF(E$6="Archipel de l'Automne",60000*Q27*(1-L$7)*(1-N27),30000*Q27*(1-L$7)*(1-N27))</f>
        <v>0</v>
      </c>
      <c r="P27" s="143">
        <f>IF(OR(M27="Possédée",M27="Assiégée"),B27,0)</f>
        <v>0</v>
      </c>
      <c r="Q27" s="144">
        <f>IF(M27="Possédée",1,IF(M27="Assiégée",0.5,0))</f>
        <v>0</v>
      </c>
    </row>
    <row r="28" spans="1:17" x14ac:dyDescent="0.25">
      <c r="A28" t="s">
        <v>1</v>
      </c>
      <c r="B28" s="116">
        <v>15</v>
      </c>
      <c r="C28" s="17"/>
      <c r="D28" s="17"/>
      <c r="E28" s="17"/>
      <c r="F28" s="17"/>
      <c r="G28" s="17">
        <f>TRUNC(30*Q28*(1-L7)*(1-N28))</f>
        <v>0</v>
      </c>
      <c r="H28" s="17"/>
      <c r="I28" s="17"/>
      <c r="J28" s="17"/>
      <c r="K28" s="17"/>
      <c r="L28" s="18">
        <f>TRUNC(140*Q28*(1-L7)*(1-N28))</f>
        <v>0</v>
      </c>
      <c r="M28" s="127" t="s">
        <v>173</v>
      </c>
      <c r="N28" s="124">
        <v>0</v>
      </c>
      <c r="O28" s="150">
        <f>30000*Q28*(1-L$7)*(1-N28)</f>
        <v>0</v>
      </c>
      <c r="P28" s="145">
        <f>IF(OR(M28="Possédée",M28="Assiégée"),B28,0)</f>
        <v>0</v>
      </c>
      <c r="Q28" s="146">
        <f t="shared" ref="Q28:Q91" si="5">IF(M28="Possédée",1,IF(M28="Assiégée",0.5,0))</f>
        <v>0</v>
      </c>
    </row>
    <row r="29" spans="1:17" x14ac:dyDescent="0.25">
      <c r="A29" t="s">
        <v>2</v>
      </c>
      <c r="B29" s="116">
        <v>15</v>
      </c>
      <c r="C29" s="17">
        <f>TRUNC(60*Q29*(1-L7)*(1-N29))</f>
        <v>0</v>
      </c>
      <c r="D29" s="17"/>
      <c r="E29" s="17"/>
      <c r="F29" s="17"/>
      <c r="G29" s="17"/>
      <c r="H29" s="17"/>
      <c r="I29" s="17">
        <f>TRUNC(110*Q29*(1-L7)*(1-N29))</f>
        <v>0</v>
      </c>
      <c r="J29" s="17"/>
      <c r="K29" s="17"/>
      <c r="L29" s="18"/>
      <c r="M29" s="127" t="s">
        <v>173</v>
      </c>
      <c r="N29" s="124">
        <v>0</v>
      </c>
      <c r="O29" s="150">
        <f t="shared" ref="O29:O34" si="6">30000*Q29*(1-L$7)*(1-N29)</f>
        <v>0</v>
      </c>
      <c r="P29" s="145">
        <f t="shared" ref="P29:P92" si="7">IF(OR(M29="Possédée",M29="Assiégée"),B29,0)</f>
        <v>0</v>
      </c>
      <c r="Q29" s="146">
        <f t="shared" si="5"/>
        <v>0</v>
      </c>
    </row>
    <row r="30" spans="1:17" x14ac:dyDescent="0.25">
      <c r="A30" t="s">
        <v>3</v>
      </c>
      <c r="B30" s="116">
        <v>15</v>
      </c>
      <c r="C30" s="17">
        <f>TRUNC(40*Q30*(1-L7)*(1-N30))</f>
        <v>0</v>
      </c>
      <c r="D30" s="17"/>
      <c r="E30" s="17"/>
      <c r="F30" s="17"/>
      <c r="G30" s="17"/>
      <c r="H30" s="17"/>
      <c r="I30" s="17">
        <f>TRUNC(60*Q30*(1-L7)*(1-N30))</f>
        <v>0</v>
      </c>
      <c r="J30" s="17"/>
      <c r="K30" s="17">
        <f>TRUNC(70*Q30*(1-L7)*(1-N30))</f>
        <v>0</v>
      </c>
      <c r="L30" s="18"/>
      <c r="M30" s="127" t="s">
        <v>173</v>
      </c>
      <c r="N30" s="124">
        <v>0</v>
      </c>
      <c r="O30" s="150">
        <f t="shared" si="6"/>
        <v>0</v>
      </c>
      <c r="P30" s="145">
        <f t="shared" si="7"/>
        <v>0</v>
      </c>
      <c r="Q30" s="146">
        <f t="shared" si="5"/>
        <v>0</v>
      </c>
    </row>
    <row r="31" spans="1:17" x14ac:dyDescent="0.25">
      <c r="A31" t="s">
        <v>4</v>
      </c>
      <c r="B31" s="116">
        <v>15</v>
      </c>
      <c r="C31" s="17"/>
      <c r="D31" s="17"/>
      <c r="E31" s="17"/>
      <c r="F31" s="17"/>
      <c r="G31" s="17"/>
      <c r="H31" s="17"/>
      <c r="I31" s="17">
        <f>TRUNC(80*Q31*(1-L7)*(1-N31))</f>
        <v>0</v>
      </c>
      <c r="J31" s="17"/>
      <c r="K31" s="17"/>
      <c r="L31" s="18">
        <f>TRUNC(90*Q31*(1-L7)*(1-N31))</f>
        <v>0</v>
      </c>
      <c r="M31" s="127" t="s">
        <v>173</v>
      </c>
      <c r="N31" s="124">
        <v>0</v>
      </c>
      <c r="O31" s="150">
        <f t="shared" si="6"/>
        <v>0</v>
      </c>
      <c r="P31" s="145">
        <f t="shared" si="7"/>
        <v>0</v>
      </c>
      <c r="Q31" s="146">
        <f t="shared" si="5"/>
        <v>0</v>
      </c>
    </row>
    <row r="32" spans="1:17" x14ac:dyDescent="0.25">
      <c r="A32" t="s">
        <v>5</v>
      </c>
      <c r="B32" s="116">
        <v>15</v>
      </c>
      <c r="C32" s="17"/>
      <c r="D32" s="17"/>
      <c r="E32" s="17"/>
      <c r="F32" s="17"/>
      <c r="G32" s="17"/>
      <c r="H32" s="17"/>
      <c r="I32" s="17"/>
      <c r="J32" s="17"/>
      <c r="K32" s="17">
        <f>TRUNC(170*Q32*(1-L7)*(1-N32))</f>
        <v>0</v>
      </c>
      <c r="L32" s="18"/>
      <c r="M32" s="127" t="s">
        <v>173</v>
      </c>
      <c r="N32" s="124">
        <v>0</v>
      </c>
      <c r="O32" s="150">
        <f t="shared" si="6"/>
        <v>0</v>
      </c>
      <c r="P32" s="145">
        <f t="shared" si="7"/>
        <v>0</v>
      </c>
      <c r="Q32" s="146">
        <f t="shared" si="5"/>
        <v>0</v>
      </c>
    </row>
    <row r="33" spans="1:17" x14ac:dyDescent="0.25">
      <c r="A33" t="s">
        <v>6</v>
      </c>
      <c r="B33" s="116">
        <v>15</v>
      </c>
      <c r="C33" s="17">
        <f>TRUNC(40*Q33*(1-L7)*(1-N33))</f>
        <v>0</v>
      </c>
      <c r="D33" s="17"/>
      <c r="E33" s="17"/>
      <c r="F33" s="17">
        <f>TRUNC(130*Q33*(1-L7)*(1-N33))</f>
        <v>0</v>
      </c>
      <c r="G33" s="17"/>
      <c r="H33" s="17"/>
      <c r="I33" s="17"/>
      <c r="J33" s="17"/>
      <c r="K33" s="17"/>
      <c r="L33" s="18"/>
      <c r="M33" s="127" t="s">
        <v>173</v>
      </c>
      <c r="N33" s="124">
        <v>0</v>
      </c>
      <c r="O33" s="150">
        <f t="shared" si="6"/>
        <v>0</v>
      </c>
      <c r="P33" s="145">
        <f t="shared" si="7"/>
        <v>0</v>
      </c>
      <c r="Q33" s="146">
        <f t="shared" si="5"/>
        <v>0</v>
      </c>
    </row>
    <row r="34" spans="1:17" ht="15.75" thickBot="1" x14ac:dyDescent="0.3">
      <c r="A34" t="s">
        <v>7</v>
      </c>
      <c r="B34" s="116">
        <v>15</v>
      </c>
      <c r="C34" s="17"/>
      <c r="D34" s="17">
        <f>TRUNC(70*Q34*(1-L7)*(1-N34))</f>
        <v>0</v>
      </c>
      <c r="E34" s="17"/>
      <c r="F34" s="17"/>
      <c r="G34" s="17"/>
      <c r="H34" s="17"/>
      <c r="I34" s="17"/>
      <c r="J34" s="17"/>
      <c r="K34" s="17"/>
      <c r="L34" s="18">
        <f>TRUNC(100*Q34*(1-L7)*(1-N34))</f>
        <v>0</v>
      </c>
      <c r="M34" s="127" t="s">
        <v>173</v>
      </c>
      <c r="N34" s="124">
        <v>0</v>
      </c>
      <c r="O34" s="150">
        <f t="shared" si="6"/>
        <v>0</v>
      </c>
      <c r="P34" s="145">
        <f>IF(OR(M34="Possédée",M34="Assiégée"),B34,0)</f>
        <v>0</v>
      </c>
      <c r="Q34" s="146">
        <f t="shared" si="5"/>
        <v>0</v>
      </c>
    </row>
    <row r="35" spans="1:17" ht="15.75" thickBot="1" x14ac:dyDescent="0.3">
      <c r="A35" s="10" t="s">
        <v>23</v>
      </c>
      <c r="B35" s="117" t="s">
        <v>166</v>
      </c>
      <c r="C35" s="91" t="s">
        <v>8</v>
      </c>
      <c r="D35" s="92" t="s">
        <v>9</v>
      </c>
      <c r="E35" s="92" t="s">
        <v>10</v>
      </c>
      <c r="F35" s="92" t="s">
        <v>137</v>
      </c>
      <c r="G35" s="92" t="s">
        <v>11</v>
      </c>
      <c r="H35" s="92" t="s">
        <v>138</v>
      </c>
      <c r="I35" s="92" t="s">
        <v>139</v>
      </c>
      <c r="J35" s="92" t="s">
        <v>12</v>
      </c>
      <c r="K35" s="92" t="s">
        <v>13</v>
      </c>
      <c r="L35" s="93" t="s">
        <v>105</v>
      </c>
      <c r="M35" s="93"/>
      <c r="N35" s="93"/>
      <c r="O35" s="151"/>
      <c r="P35" s="147"/>
      <c r="Q35" s="148"/>
    </row>
    <row r="36" spans="1:17" x14ac:dyDescent="0.25">
      <c r="A36" t="s">
        <v>14</v>
      </c>
      <c r="B36" s="115">
        <v>15</v>
      </c>
      <c r="C36" s="19"/>
      <c r="D36" s="17"/>
      <c r="E36" s="17">
        <f>TRUNC(60*Q36*(1-L7)*(1-N36))</f>
        <v>0</v>
      </c>
      <c r="F36" s="17"/>
      <c r="G36" s="17">
        <f>TRUNC(150*Q36*(1-L7)*(1-N36))</f>
        <v>0</v>
      </c>
      <c r="H36" s="17"/>
      <c r="I36" s="17"/>
      <c r="J36" s="17"/>
      <c r="K36" s="17"/>
      <c r="L36" s="18"/>
      <c r="M36" s="127" t="s">
        <v>173</v>
      </c>
      <c r="N36" s="124">
        <v>0</v>
      </c>
      <c r="O36" s="149">
        <f>IF(E$6="Bordeciel",60000*Q36*(1-L$7)*(1-N36),30000*Q36*(1-L$7)*(1-N36))</f>
        <v>0</v>
      </c>
      <c r="P36" s="145">
        <f t="shared" si="7"/>
        <v>0</v>
      </c>
      <c r="Q36" s="146">
        <f t="shared" si="5"/>
        <v>0</v>
      </c>
    </row>
    <row r="37" spans="1:17" x14ac:dyDescent="0.25">
      <c r="A37" t="s">
        <v>15</v>
      </c>
      <c r="B37" s="116">
        <v>15</v>
      </c>
      <c r="C37" s="19"/>
      <c r="D37" s="17"/>
      <c r="E37" s="17"/>
      <c r="F37" s="17"/>
      <c r="G37" s="17"/>
      <c r="H37" s="17"/>
      <c r="I37" s="17"/>
      <c r="J37" s="17"/>
      <c r="K37" s="17">
        <f>TRUNC(170*Q37*(1-L7)*(1-N37))</f>
        <v>0</v>
      </c>
      <c r="L37" s="18"/>
      <c r="M37" s="127" t="s">
        <v>173</v>
      </c>
      <c r="N37" s="124">
        <v>0</v>
      </c>
      <c r="O37" s="150">
        <f>30000*Q37*(1-L$7)*(1-N37)</f>
        <v>0</v>
      </c>
      <c r="P37" s="145">
        <f t="shared" si="7"/>
        <v>0</v>
      </c>
      <c r="Q37" s="146">
        <f t="shared" si="5"/>
        <v>0</v>
      </c>
    </row>
    <row r="38" spans="1:17" x14ac:dyDescent="0.25">
      <c r="A38" t="s">
        <v>16</v>
      </c>
      <c r="B38" s="116">
        <v>15</v>
      </c>
      <c r="C38" s="19"/>
      <c r="D38" s="17">
        <f>TRUNC(130*Q38*(1-L7)*(1-N38))</f>
        <v>0</v>
      </c>
      <c r="E38" s="17"/>
      <c r="F38" s="17"/>
      <c r="G38" s="17">
        <f>TRUNC(40*Q38*(1-L7)*(1-N38))</f>
        <v>0</v>
      </c>
      <c r="H38" s="17"/>
      <c r="I38" s="17"/>
      <c r="J38" s="17"/>
      <c r="K38" s="17"/>
      <c r="L38" s="18"/>
      <c r="M38" s="127" t="s">
        <v>173</v>
      </c>
      <c r="N38" s="124">
        <v>0</v>
      </c>
      <c r="O38" s="150">
        <f t="shared" ref="O38:O43" si="8">30000*Q38*(1-L$7)*(1-N38)</f>
        <v>0</v>
      </c>
      <c r="P38" s="145">
        <f t="shared" si="7"/>
        <v>0</v>
      </c>
      <c r="Q38" s="146">
        <f t="shared" si="5"/>
        <v>0</v>
      </c>
    </row>
    <row r="39" spans="1:17" x14ac:dyDescent="0.25">
      <c r="A39" t="s">
        <v>17</v>
      </c>
      <c r="B39" s="116">
        <v>15</v>
      </c>
      <c r="C39" s="19">
        <f>TRUNC(70*Q39*(1-L7)*(1-N39))</f>
        <v>0</v>
      </c>
      <c r="D39" s="17">
        <f>TRUNC(60*Q39*(1-L7)*(1-N39))</f>
        <v>0</v>
      </c>
      <c r="E39" s="17">
        <f>TRUNC(40*Q39*(1-L7)*(1-N39))</f>
        <v>0</v>
      </c>
      <c r="F39" s="17"/>
      <c r="G39" s="17"/>
      <c r="H39" s="17"/>
      <c r="I39" s="17"/>
      <c r="J39" s="17"/>
      <c r="K39" s="17"/>
      <c r="L39" s="18"/>
      <c r="M39" s="127" t="s">
        <v>173</v>
      </c>
      <c r="N39" s="124">
        <v>0</v>
      </c>
      <c r="O39" s="150">
        <f t="shared" si="8"/>
        <v>0</v>
      </c>
      <c r="P39" s="145">
        <f t="shared" si="7"/>
        <v>0</v>
      </c>
      <c r="Q39" s="146">
        <f t="shared" si="5"/>
        <v>0</v>
      </c>
    </row>
    <row r="40" spans="1:17" x14ac:dyDescent="0.25">
      <c r="A40" t="s">
        <v>18</v>
      </c>
      <c r="B40" s="116">
        <v>15</v>
      </c>
      <c r="C40" s="19"/>
      <c r="D40" s="17">
        <f>TRUNC(20*Q40*(1-L7)*(1-N40))</f>
        <v>0</v>
      </c>
      <c r="E40" s="17"/>
      <c r="F40" s="17">
        <f>TRUNC(100*Q40*(1-L7)*(1-N40))</f>
        <v>0</v>
      </c>
      <c r="G40" s="17">
        <f>TRUNC(50*Q40*(1-L7)*(1-N40))</f>
        <v>0</v>
      </c>
      <c r="H40" s="17"/>
      <c r="I40" s="17"/>
      <c r="J40" s="17"/>
      <c r="K40" s="17"/>
      <c r="L40" s="18"/>
      <c r="M40" s="127" t="s">
        <v>173</v>
      </c>
      <c r="N40" s="124">
        <v>0</v>
      </c>
      <c r="O40" s="150">
        <f t="shared" si="8"/>
        <v>0</v>
      </c>
      <c r="P40" s="145">
        <f t="shared" si="7"/>
        <v>0</v>
      </c>
      <c r="Q40" s="146">
        <f t="shared" si="5"/>
        <v>0</v>
      </c>
    </row>
    <row r="41" spans="1:17" x14ac:dyDescent="0.25">
      <c r="A41" t="s">
        <v>19</v>
      </c>
      <c r="B41" s="116">
        <v>15</v>
      </c>
      <c r="C41" s="19"/>
      <c r="D41" s="17"/>
      <c r="E41" s="17"/>
      <c r="F41" s="17"/>
      <c r="G41" s="17">
        <f>TRUNC(170*Q41*(1-L7)*(1-N41))</f>
        <v>0</v>
      </c>
      <c r="H41" s="17"/>
      <c r="I41" s="17"/>
      <c r="J41" s="17"/>
      <c r="K41" s="17"/>
      <c r="L41" s="18"/>
      <c r="M41" s="127" t="s">
        <v>173</v>
      </c>
      <c r="N41" s="124">
        <v>0</v>
      </c>
      <c r="O41" s="150">
        <f t="shared" si="8"/>
        <v>0</v>
      </c>
      <c r="P41" s="145">
        <f t="shared" si="7"/>
        <v>0</v>
      </c>
      <c r="Q41" s="146">
        <f t="shared" si="5"/>
        <v>0</v>
      </c>
    </row>
    <row r="42" spans="1:17" x14ac:dyDescent="0.25">
      <c r="A42" t="s">
        <v>20</v>
      </c>
      <c r="B42" s="116">
        <v>15</v>
      </c>
      <c r="C42" s="19"/>
      <c r="D42" s="17"/>
      <c r="E42" s="17">
        <f>TRUNC(90*Q42*(1-L7)*(1-N42))</f>
        <v>0</v>
      </c>
      <c r="F42" s="17">
        <f>TRUNC(40*Q42*(1-L7)*(1-N42))</f>
        <v>0</v>
      </c>
      <c r="G42" s="17"/>
      <c r="H42" s="17"/>
      <c r="I42" s="17"/>
      <c r="J42" s="17"/>
      <c r="K42" s="17">
        <f>TRUNC(40*Q42*(1-L7)*(1-N42))</f>
        <v>0</v>
      </c>
      <c r="L42" s="18"/>
      <c r="M42" s="127" t="s">
        <v>173</v>
      </c>
      <c r="N42" s="124">
        <v>0</v>
      </c>
      <c r="O42" s="150">
        <f t="shared" si="8"/>
        <v>0</v>
      </c>
      <c r="P42" s="145">
        <f t="shared" si="7"/>
        <v>0</v>
      </c>
      <c r="Q42" s="146">
        <f t="shared" si="5"/>
        <v>0</v>
      </c>
    </row>
    <row r="43" spans="1:17" ht="15.75" thickBot="1" x14ac:dyDescent="0.3">
      <c r="A43" t="s">
        <v>21</v>
      </c>
      <c r="B43" s="116">
        <v>15</v>
      </c>
      <c r="C43" s="19"/>
      <c r="D43" s="17"/>
      <c r="E43" s="17"/>
      <c r="F43" s="17"/>
      <c r="G43" s="17">
        <f>TRUNC(70*Q43*(1-L7)*(1-N43))</f>
        <v>0</v>
      </c>
      <c r="H43" s="17"/>
      <c r="I43" s="17"/>
      <c r="J43" s="17"/>
      <c r="K43" s="17">
        <f>TRUNC(100*Q43*(1-L7)*(1-N43))</f>
        <v>0</v>
      </c>
      <c r="L43" s="18"/>
      <c r="M43" s="127" t="s">
        <v>173</v>
      </c>
      <c r="N43" s="124">
        <v>0</v>
      </c>
      <c r="O43" s="150">
        <f t="shared" si="8"/>
        <v>0</v>
      </c>
      <c r="P43" s="145">
        <f t="shared" si="7"/>
        <v>0</v>
      </c>
      <c r="Q43" s="146">
        <f t="shared" si="5"/>
        <v>0</v>
      </c>
    </row>
    <row r="44" spans="1:17" ht="15.75" thickBot="1" x14ac:dyDescent="0.3">
      <c r="A44" s="3" t="s">
        <v>24</v>
      </c>
      <c r="B44" s="117" t="s">
        <v>166</v>
      </c>
      <c r="C44" s="91" t="s">
        <v>8</v>
      </c>
      <c r="D44" s="92" t="s">
        <v>9</v>
      </c>
      <c r="E44" s="92" t="s">
        <v>10</v>
      </c>
      <c r="F44" s="92" t="s">
        <v>137</v>
      </c>
      <c r="G44" s="92" t="s">
        <v>11</v>
      </c>
      <c r="H44" s="92" t="s">
        <v>138</v>
      </c>
      <c r="I44" s="92" t="s">
        <v>139</v>
      </c>
      <c r="J44" s="92" t="s">
        <v>12</v>
      </c>
      <c r="K44" s="92" t="s">
        <v>13</v>
      </c>
      <c r="L44" s="93" t="s">
        <v>105</v>
      </c>
      <c r="M44" s="93"/>
      <c r="N44" s="93"/>
      <c r="O44" s="151"/>
      <c r="P44" s="147"/>
      <c r="Q44" s="148"/>
    </row>
    <row r="45" spans="1:17" x14ac:dyDescent="0.25">
      <c r="A45" t="s">
        <v>25</v>
      </c>
      <c r="B45" s="115">
        <v>15</v>
      </c>
      <c r="C45" s="15"/>
      <c r="D45" s="15">
        <f>TRUNC(20*Q45*(1-L7)*(1-N45))</f>
        <v>0</v>
      </c>
      <c r="E45" s="15"/>
      <c r="F45" s="15"/>
      <c r="G45" s="15"/>
      <c r="H45" s="15"/>
      <c r="I45" s="15">
        <f>TRUNC(150*Q45*(1-L7)*(1-N45))</f>
        <v>0</v>
      </c>
      <c r="J45" s="15"/>
      <c r="K45" s="15"/>
      <c r="L45" s="16">
        <f>TRUNC(40*Q45*(1-L7)*(1-N45))</f>
        <v>0</v>
      </c>
      <c r="M45" s="127" t="s">
        <v>173</v>
      </c>
      <c r="N45" s="124">
        <v>0</v>
      </c>
      <c r="O45" s="149">
        <f>IF(E$6="Cyrodiil",60000*Q45*(1-L$7)*(1-N45),30000*Q45*(1-L$7)*(1-N45))</f>
        <v>0</v>
      </c>
      <c r="P45" s="145">
        <f t="shared" si="7"/>
        <v>0</v>
      </c>
      <c r="Q45" s="146">
        <f t="shared" si="5"/>
        <v>0</v>
      </c>
    </row>
    <row r="46" spans="1:17" x14ac:dyDescent="0.25">
      <c r="A46" t="s">
        <v>27</v>
      </c>
      <c r="B46" s="116">
        <v>15</v>
      </c>
      <c r="C46" s="17"/>
      <c r="D46" s="17">
        <f>TRUNC(120*Q46*(1-L7)*(1-N46))</f>
        <v>0</v>
      </c>
      <c r="E46" s="17">
        <f>TRUNC(50*Q46*(1-L7)*(1-N46))</f>
        <v>0</v>
      </c>
      <c r="F46" s="17"/>
      <c r="G46" s="17"/>
      <c r="H46" s="17"/>
      <c r="I46" s="17"/>
      <c r="J46" s="17"/>
      <c r="K46" s="17"/>
      <c r="L46" s="18"/>
      <c r="M46" s="127" t="s">
        <v>173</v>
      </c>
      <c r="N46" s="124">
        <v>0</v>
      </c>
      <c r="O46" s="150">
        <f>30000*Q46*(1-L$7)*(1-N46)</f>
        <v>0</v>
      </c>
      <c r="P46" s="145">
        <f t="shared" si="7"/>
        <v>0</v>
      </c>
      <c r="Q46" s="146">
        <f t="shared" si="5"/>
        <v>0</v>
      </c>
    </row>
    <row r="47" spans="1:17" x14ac:dyDescent="0.25">
      <c r="A47" t="s">
        <v>26</v>
      </c>
      <c r="B47" s="116">
        <v>15</v>
      </c>
      <c r="C47" s="17"/>
      <c r="D47" s="17">
        <f>TRUNC(60*Q47*(1-L7)*(1-N47))</f>
        <v>0</v>
      </c>
      <c r="E47" s="17">
        <f>TRUNC(110*Q47*(1-L7)*(1-N47))</f>
        <v>0</v>
      </c>
      <c r="F47" s="17"/>
      <c r="G47" s="17"/>
      <c r="H47" s="17"/>
      <c r="I47" s="17"/>
      <c r="J47" s="17"/>
      <c r="K47" s="17"/>
      <c r="L47" s="18"/>
      <c r="M47" s="127" t="s">
        <v>173</v>
      </c>
      <c r="N47" s="124">
        <v>0</v>
      </c>
      <c r="O47" s="150">
        <f>30000*Q47*(1-L$7)*(1-N47)</f>
        <v>0</v>
      </c>
      <c r="P47" s="145">
        <f t="shared" si="7"/>
        <v>0</v>
      </c>
      <c r="Q47" s="146">
        <f t="shared" si="5"/>
        <v>0</v>
      </c>
    </row>
    <row r="48" spans="1:17" x14ac:dyDescent="0.25">
      <c r="A48" t="s">
        <v>28</v>
      </c>
      <c r="B48" s="116">
        <v>15</v>
      </c>
      <c r="C48" s="17"/>
      <c r="D48" s="17">
        <f>TRUNC(170*Q48*(1-L7)*(1-N48))</f>
        <v>0</v>
      </c>
      <c r="E48" s="17"/>
      <c r="F48" s="17"/>
      <c r="G48" s="17"/>
      <c r="H48" s="17"/>
      <c r="I48" s="17"/>
      <c r="J48" s="17"/>
      <c r="K48" s="17"/>
      <c r="L48" s="18"/>
      <c r="M48" s="127" t="s">
        <v>173</v>
      </c>
      <c r="N48" s="124">
        <v>0</v>
      </c>
      <c r="O48" s="150">
        <f t="shared" ref="O48:O53" si="9">30000*Q48*(1-L$7)*(1-N48)</f>
        <v>0</v>
      </c>
      <c r="P48" s="145">
        <f t="shared" si="7"/>
        <v>0</v>
      </c>
      <c r="Q48" s="146">
        <f t="shared" si="5"/>
        <v>0</v>
      </c>
    </row>
    <row r="49" spans="1:17" x14ac:dyDescent="0.25">
      <c r="A49" t="s">
        <v>29</v>
      </c>
      <c r="B49" s="116">
        <v>15</v>
      </c>
      <c r="C49" s="17"/>
      <c r="D49" s="17"/>
      <c r="E49" s="17"/>
      <c r="F49" s="17"/>
      <c r="G49" s="17"/>
      <c r="H49" s="17"/>
      <c r="I49" s="17"/>
      <c r="J49" s="17">
        <f>TRUNC(170*Q49*(1-L7)*(1-N49))</f>
        <v>0</v>
      </c>
      <c r="K49" s="17"/>
      <c r="L49" s="18"/>
      <c r="M49" s="127" t="s">
        <v>173</v>
      </c>
      <c r="N49" s="124">
        <v>0</v>
      </c>
      <c r="O49" s="150">
        <f t="shared" si="9"/>
        <v>0</v>
      </c>
      <c r="P49" s="145">
        <f t="shared" si="7"/>
        <v>0</v>
      </c>
      <c r="Q49" s="146">
        <f t="shared" si="5"/>
        <v>0</v>
      </c>
    </row>
    <row r="50" spans="1:17" x14ac:dyDescent="0.25">
      <c r="A50" t="s">
        <v>58</v>
      </c>
      <c r="B50" s="116">
        <v>15</v>
      </c>
      <c r="C50" s="17">
        <f>TRUNC(170*Q50*(1-L7)*(1-N50))</f>
        <v>0</v>
      </c>
      <c r="D50" s="17"/>
      <c r="E50" s="17"/>
      <c r="F50" s="17"/>
      <c r="G50" s="17"/>
      <c r="H50" s="17"/>
      <c r="I50" s="17"/>
      <c r="J50" s="17"/>
      <c r="K50" s="17"/>
      <c r="L50" s="18"/>
      <c r="M50" s="127" t="s">
        <v>173</v>
      </c>
      <c r="N50" s="124">
        <v>0</v>
      </c>
      <c r="O50" s="150">
        <f t="shared" si="9"/>
        <v>0</v>
      </c>
      <c r="P50" s="145">
        <f t="shared" si="7"/>
        <v>0</v>
      </c>
      <c r="Q50" s="146">
        <f t="shared" si="5"/>
        <v>0</v>
      </c>
    </row>
    <row r="51" spans="1:17" x14ac:dyDescent="0.25">
      <c r="A51" t="s">
        <v>30</v>
      </c>
      <c r="B51" s="116">
        <v>15</v>
      </c>
      <c r="C51" s="17">
        <f>TRUNC(100*Q51*(1-L7)*(1-N51))</f>
        <v>0</v>
      </c>
      <c r="D51" s="17"/>
      <c r="E51" s="17"/>
      <c r="F51" s="17"/>
      <c r="G51" s="17"/>
      <c r="H51" s="17"/>
      <c r="I51" s="17"/>
      <c r="J51" s="17">
        <f>TRUNC(70*Q51*(1-L7)*(1-N51))</f>
        <v>0</v>
      </c>
      <c r="K51" s="17"/>
      <c r="L51" s="18"/>
      <c r="M51" s="127" t="s">
        <v>173</v>
      </c>
      <c r="N51" s="124">
        <v>0</v>
      </c>
      <c r="O51" s="150">
        <f t="shared" si="9"/>
        <v>0</v>
      </c>
      <c r="P51" s="145">
        <f t="shared" si="7"/>
        <v>0</v>
      </c>
      <c r="Q51" s="146">
        <f t="shared" si="5"/>
        <v>0</v>
      </c>
    </row>
    <row r="52" spans="1:17" x14ac:dyDescent="0.25">
      <c r="A52" t="s">
        <v>31</v>
      </c>
      <c r="B52" s="116">
        <v>15</v>
      </c>
      <c r="C52" s="17">
        <f>TRUNC(90*Q52*(1-L7)*(1-N52))</f>
        <v>0</v>
      </c>
      <c r="D52" s="17"/>
      <c r="E52" s="17">
        <f>TRUNC(40*Q52*(1-L7)*(1-N52))</f>
        <v>0</v>
      </c>
      <c r="F52" s="17">
        <f>TRUNC(40*Q52*(1-L7)*(1-N52))</f>
        <v>0</v>
      </c>
      <c r="G52" s="17"/>
      <c r="H52" s="17"/>
      <c r="I52" s="17"/>
      <c r="J52" s="17"/>
      <c r="K52" s="17"/>
      <c r="L52" s="18"/>
      <c r="M52" s="127" t="s">
        <v>173</v>
      </c>
      <c r="N52" s="124">
        <v>0</v>
      </c>
      <c r="O52" s="150">
        <f t="shared" si="9"/>
        <v>0</v>
      </c>
      <c r="P52" s="145">
        <f t="shared" si="7"/>
        <v>0</v>
      </c>
      <c r="Q52" s="146">
        <f t="shared" si="5"/>
        <v>0</v>
      </c>
    </row>
    <row r="53" spans="1:17" ht="15.75" thickBot="1" x14ac:dyDescent="0.3">
      <c r="A53" t="s">
        <v>32</v>
      </c>
      <c r="B53" s="118">
        <v>15</v>
      </c>
      <c r="C53" s="20">
        <f>TRUNC(110*Q53*(1-L7)*(1-N53))</f>
        <v>0</v>
      </c>
      <c r="D53" s="21"/>
      <c r="E53" s="21"/>
      <c r="F53" s="21"/>
      <c r="G53" s="21"/>
      <c r="H53" s="21">
        <f>TRUNC(60*Q53*(1-L7)*(1-N53))</f>
        <v>0</v>
      </c>
      <c r="I53" s="21"/>
      <c r="J53" s="21"/>
      <c r="K53" s="21"/>
      <c r="L53" s="22"/>
      <c r="M53" s="127" t="s">
        <v>173</v>
      </c>
      <c r="N53" s="124">
        <v>0</v>
      </c>
      <c r="O53" s="150">
        <f t="shared" si="9"/>
        <v>0</v>
      </c>
      <c r="P53" s="145">
        <f t="shared" si="7"/>
        <v>0</v>
      </c>
      <c r="Q53" s="146">
        <f t="shared" si="5"/>
        <v>0</v>
      </c>
    </row>
    <row r="54" spans="1:17" ht="15.75" thickBot="1" x14ac:dyDescent="0.3">
      <c r="A54" s="3" t="s">
        <v>33</v>
      </c>
      <c r="B54" s="117" t="s">
        <v>166</v>
      </c>
      <c r="C54" s="91" t="s">
        <v>8</v>
      </c>
      <c r="D54" s="92" t="s">
        <v>9</v>
      </c>
      <c r="E54" s="92" t="s">
        <v>10</v>
      </c>
      <c r="F54" s="92" t="s">
        <v>137</v>
      </c>
      <c r="G54" s="92" t="s">
        <v>11</v>
      </c>
      <c r="H54" s="92" t="s">
        <v>138</v>
      </c>
      <c r="I54" s="92" t="s">
        <v>139</v>
      </c>
      <c r="J54" s="92" t="s">
        <v>12</v>
      </c>
      <c r="K54" s="92" t="s">
        <v>13</v>
      </c>
      <c r="L54" s="93" t="s">
        <v>105</v>
      </c>
      <c r="M54" s="93"/>
      <c r="N54" s="93"/>
      <c r="O54" s="151"/>
      <c r="P54" s="147"/>
      <c r="Q54" s="148"/>
    </row>
    <row r="55" spans="1:17" x14ac:dyDescent="0.25">
      <c r="A55" t="s">
        <v>34</v>
      </c>
      <c r="B55" s="115">
        <v>15</v>
      </c>
      <c r="C55" s="15"/>
      <c r="D55" s="15">
        <f>TRUNC(150*Q55*(1-L7)*(1-N55))</f>
        <v>0</v>
      </c>
      <c r="E55" s="15"/>
      <c r="F55" s="15"/>
      <c r="G55" s="15"/>
      <c r="H55" s="15"/>
      <c r="I55" s="15"/>
      <c r="J55" s="15">
        <f>TRUNC(60*Q55*(1-L7)*(1-N55))</f>
        <v>0</v>
      </c>
      <c r="K55" s="15"/>
      <c r="L55" s="16"/>
      <c r="M55" s="127" t="s">
        <v>173</v>
      </c>
      <c r="N55" s="124">
        <v>0</v>
      </c>
      <c r="O55" s="149">
        <f>IF(E$6="Elsweyr",60000*Q55*(1-L$7)*(1-N55),30000*Q55*(1-L$7)*(1-N55))</f>
        <v>0</v>
      </c>
      <c r="P55" s="145">
        <f t="shared" si="7"/>
        <v>0</v>
      </c>
      <c r="Q55" s="146">
        <f t="shared" si="5"/>
        <v>0</v>
      </c>
    </row>
    <row r="56" spans="1:17" x14ac:dyDescent="0.25">
      <c r="A56" t="s">
        <v>35</v>
      </c>
      <c r="B56" s="116">
        <v>15</v>
      </c>
      <c r="C56" s="17"/>
      <c r="D56" s="17"/>
      <c r="E56" s="17"/>
      <c r="F56" s="17">
        <f>TRUNC(70*Q56*(1-L7)*(1-N56))</f>
        <v>0</v>
      </c>
      <c r="G56" s="17"/>
      <c r="H56" s="17">
        <f>TRUNC(100*Q56*(1-L7)*(1-N56))</f>
        <v>0</v>
      </c>
      <c r="I56" s="17"/>
      <c r="J56" s="17"/>
      <c r="K56" s="17"/>
      <c r="L56" s="18"/>
      <c r="M56" s="127" t="s">
        <v>173</v>
      </c>
      <c r="N56" s="124">
        <v>0</v>
      </c>
      <c r="O56" s="150">
        <f t="shared" ref="O56:O61" si="10">30000*Q56*(1-L$7)*(1-N56)</f>
        <v>0</v>
      </c>
      <c r="P56" s="145">
        <f t="shared" si="7"/>
        <v>0</v>
      </c>
      <c r="Q56" s="146">
        <f t="shared" si="5"/>
        <v>0</v>
      </c>
    </row>
    <row r="57" spans="1:17" x14ac:dyDescent="0.25">
      <c r="A57" t="s">
        <v>36</v>
      </c>
      <c r="B57" s="116">
        <v>15</v>
      </c>
      <c r="C57" s="17"/>
      <c r="D57" s="17"/>
      <c r="E57" s="17"/>
      <c r="F57" s="17"/>
      <c r="G57" s="17"/>
      <c r="H57" s="17"/>
      <c r="I57" s="17"/>
      <c r="J57" s="17">
        <f>TRUNC(170*Q57*(1-L7)*(1-N57))</f>
        <v>0</v>
      </c>
      <c r="K57" s="17"/>
      <c r="L57" s="18"/>
      <c r="M57" s="127" t="s">
        <v>173</v>
      </c>
      <c r="N57" s="124">
        <v>0</v>
      </c>
      <c r="O57" s="150">
        <f t="shared" si="10"/>
        <v>0</v>
      </c>
      <c r="P57" s="145">
        <f t="shared" si="7"/>
        <v>0</v>
      </c>
      <c r="Q57" s="146">
        <f t="shared" si="5"/>
        <v>0</v>
      </c>
    </row>
    <row r="58" spans="1:17" x14ac:dyDescent="0.25">
      <c r="A58" t="s">
        <v>37</v>
      </c>
      <c r="B58" s="116">
        <v>15</v>
      </c>
      <c r="C58" s="17"/>
      <c r="D58" s="17"/>
      <c r="E58" s="17"/>
      <c r="F58" s="17"/>
      <c r="G58" s="17"/>
      <c r="H58" s="17">
        <f>TRUNC(170*Q58*(1-L7)*(1-N58))</f>
        <v>0</v>
      </c>
      <c r="I58" s="17"/>
      <c r="J58" s="17"/>
      <c r="K58" s="17"/>
      <c r="L58" s="18"/>
      <c r="M58" s="127" t="s">
        <v>173</v>
      </c>
      <c r="N58" s="124">
        <v>0</v>
      </c>
      <c r="O58" s="150">
        <f t="shared" si="10"/>
        <v>0</v>
      </c>
      <c r="P58" s="145">
        <f t="shared" si="7"/>
        <v>0</v>
      </c>
      <c r="Q58" s="146">
        <f t="shared" si="5"/>
        <v>0</v>
      </c>
    </row>
    <row r="59" spans="1:17" x14ac:dyDescent="0.25">
      <c r="A59" t="s">
        <v>38</v>
      </c>
      <c r="B59" s="116">
        <v>15</v>
      </c>
      <c r="C59" s="17"/>
      <c r="D59" s="17"/>
      <c r="E59" s="17"/>
      <c r="F59" s="17">
        <f>TRUNC(130*Q59*(1-L7)*(1-N59))</f>
        <v>0</v>
      </c>
      <c r="G59" s="17"/>
      <c r="H59" s="17"/>
      <c r="I59" s="17"/>
      <c r="J59" s="17">
        <f>TRUNC(40*Q59*(1-L7)*(1-N59))</f>
        <v>0</v>
      </c>
      <c r="K59" s="17"/>
      <c r="L59" s="18"/>
      <c r="M59" s="127" t="s">
        <v>173</v>
      </c>
      <c r="N59" s="124">
        <v>0</v>
      </c>
      <c r="O59" s="150">
        <f t="shared" si="10"/>
        <v>0</v>
      </c>
      <c r="P59" s="145">
        <f t="shared" si="7"/>
        <v>0</v>
      </c>
      <c r="Q59" s="146">
        <f t="shared" si="5"/>
        <v>0</v>
      </c>
    </row>
    <row r="60" spans="1:17" x14ac:dyDescent="0.25">
      <c r="A60" t="s">
        <v>39</v>
      </c>
      <c r="B60" s="116">
        <v>15</v>
      </c>
      <c r="C60" s="17"/>
      <c r="D60" s="17"/>
      <c r="E60" s="17"/>
      <c r="F60" s="17"/>
      <c r="G60" s="17"/>
      <c r="H60" s="17"/>
      <c r="I60" s="17"/>
      <c r="J60" s="17">
        <f>TRUNC(60*Q60*(1-L7)*(1-N60))</f>
        <v>0</v>
      </c>
      <c r="K60" s="17"/>
      <c r="L60" s="18">
        <f>TRUNC(110*Q60*(1-L7)*(1-N60))</f>
        <v>0</v>
      </c>
      <c r="M60" s="127" t="s">
        <v>173</v>
      </c>
      <c r="N60" s="124">
        <v>0</v>
      </c>
      <c r="O60" s="150">
        <f t="shared" si="10"/>
        <v>0</v>
      </c>
      <c r="P60" s="145">
        <f t="shared" si="7"/>
        <v>0</v>
      </c>
      <c r="Q60" s="146">
        <f t="shared" si="5"/>
        <v>0</v>
      </c>
    </row>
    <row r="61" spans="1:17" ht="15.75" thickBot="1" x14ac:dyDescent="0.3">
      <c r="A61" t="s">
        <v>40</v>
      </c>
      <c r="B61" s="116">
        <v>15</v>
      </c>
      <c r="C61" s="17">
        <f>TRUNC(30*Q61*(1-L7)*(1-N61))</f>
        <v>0</v>
      </c>
      <c r="D61" s="17"/>
      <c r="E61" s="17">
        <f>TRUNC(60*Q61*(1-L7)*(1-N61))</f>
        <v>0</v>
      </c>
      <c r="F61" s="17"/>
      <c r="G61" s="17"/>
      <c r="H61" s="17"/>
      <c r="I61" s="17"/>
      <c r="J61" s="17">
        <f>TRUNC(80*Q61*(1-L7)*(1-N61))</f>
        <v>0</v>
      </c>
      <c r="K61" s="17"/>
      <c r="L61" s="18"/>
      <c r="M61" s="127" t="s">
        <v>173</v>
      </c>
      <c r="N61" s="124">
        <v>0</v>
      </c>
      <c r="O61" s="150">
        <f t="shared" si="10"/>
        <v>0</v>
      </c>
      <c r="P61" s="145">
        <f t="shared" si="7"/>
        <v>0</v>
      </c>
      <c r="Q61" s="146">
        <f t="shared" si="5"/>
        <v>0</v>
      </c>
    </row>
    <row r="62" spans="1:17" ht="15.75" thickBot="1" x14ac:dyDescent="0.3">
      <c r="A62" s="3" t="s">
        <v>41</v>
      </c>
      <c r="B62" s="117" t="s">
        <v>166</v>
      </c>
      <c r="C62" s="91" t="s">
        <v>8</v>
      </c>
      <c r="D62" s="92" t="s">
        <v>9</v>
      </c>
      <c r="E62" s="92" t="s">
        <v>10</v>
      </c>
      <c r="F62" s="92" t="s">
        <v>137</v>
      </c>
      <c r="G62" s="92" t="s">
        <v>11</v>
      </c>
      <c r="H62" s="92" t="s">
        <v>138</v>
      </c>
      <c r="I62" s="92" t="s">
        <v>139</v>
      </c>
      <c r="J62" s="92" t="s">
        <v>12</v>
      </c>
      <c r="K62" s="92" t="s">
        <v>13</v>
      </c>
      <c r="L62" s="93" t="s">
        <v>105</v>
      </c>
      <c r="M62" s="93"/>
      <c r="N62" s="93"/>
      <c r="O62" s="151"/>
      <c r="P62" s="147"/>
      <c r="Q62" s="148"/>
    </row>
    <row r="63" spans="1:17" x14ac:dyDescent="0.25">
      <c r="A63" t="s">
        <v>42</v>
      </c>
      <c r="B63" s="115">
        <v>15</v>
      </c>
      <c r="C63" s="15"/>
      <c r="D63" s="15">
        <f>TRUNC(60*Q63*(1-L7)*(1-N63))</f>
        <v>0</v>
      </c>
      <c r="E63" s="15"/>
      <c r="F63" s="15"/>
      <c r="G63" s="15"/>
      <c r="H63" s="15"/>
      <c r="I63" s="15"/>
      <c r="J63" s="15"/>
      <c r="K63" s="15"/>
      <c r="L63" s="16">
        <f>TRUNC(150*Q63*(1-L7)*(1-N63))</f>
        <v>0</v>
      </c>
      <c r="M63" s="127" t="s">
        <v>173</v>
      </c>
      <c r="N63" s="124">
        <v>0</v>
      </c>
      <c r="O63" s="149">
        <f>IF(E$6="Hauteroche",60000*Q63*(1-L$7)*(1-N63),30000*Q63*(1-L$7)*(1-N63))</f>
        <v>0</v>
      </c>
      <c r="P63" s="145">
        <f t="shared" si="7"/>
        <v>0</v>
      </c>
      <c r="Q63" s="146">
        <f t="shared" si="5"/>
        <v>0</v>
      </c>
    </row>
    <row r="64" spans="1:17" x14ac:dyDescent="0.25">
      <c r="A64" t="s">
        <v>43</v>
      </c>
      <c r="B64" s="116">
        <v>15</v>
      </c>
      <c r="C64" s="17"/>
      <c r="D64" s="17">
        <f>TRUNC(70*Q64*(1-L7)*(1-N64))</f>
        <v>0</v>
      </c>
      <c r="E64" s="17"/>
      <c r="F64" s="17"/>
      <c r="G64" s="17"/>
      <c r="H64" s="17"/>
      <c r="I64" s="17"/>
      <c r="J64" s="17"/>
      <c r="K64" s="17"/>
      <c r="L64" s="18">
        <f>TRUNC(100*Q64*(1-L7)*(1-N64))</f>
        <v>0</v>
      </c>
      <c r="M64" s="127" t="s">
        <v>173</v>
      </c>
      <c r="N64" s="124">
        <v>0</v>
      </c>
      <c r="O64" s="150">
        <f t="shared" ref="O64:O70" si="11">30000*Q64*(1-L$7)*(1-N64)</f>
        <v>0</v>
      </c>
      <c r="P64" s="145">
        <f t="shared" si="7"/>
        <v>0</v>
      </c>
      <c r="Q64" s="146">
        <f t="shared" si="5"/>
        <v>0</v>
      </c>
    </row>
    <row r="65" spans="1:17" x14ac:dyDescent="0.25">
      <c r="A65" t="s">
        <v>44</v>
      </c>
      <c r="B65" s="116">
        <v>15</v>
      </c>
      <c r="C65" s="17"/>
      <c r="D65" s="17">
        <f>TRUNC(80*Q65*(1-L7)*(1-N65))</f>
        <v>0</v>
      </c>
      <c r="E65" s="17">
        <f>TRUNC(20*Q65*(1-L7)*(1-N65))</f>
        <v>0</v>
      </c>
      <c r="F65" s="17"/>
      <c r="G65" s="17"/>
      <c r="H65" s="17"/>
      <c r="I65" s="17"/>
      <c r="J65" s="17"/>
      <c r="K65" s="17">
        <f>TRUNC(70*Q65*(1-L7)*(1-N65))</f>
        <v>0</v>
      </c>
      <c r="L65" s="18"/>
      <c r="M65" s="127" t="s">
        <v>173</v>
      </c>
      <c r="N65" s="124">
        <v>0</v>
      </c>
      <c r="O65" s="150">
        <f t="shared" si="11"/>
        <v>0</v>
      </c>
      <c r="P65" s="145">
        <f t="shared" si="7"/>
        <v>0</v>
      </c>
      <c r="Q65" s="146">
        <f t="shared" si="5"/>
        <v>0</v>
      </c>
    </row>
    <row r="66" spans="1:17" x14ac:dyDescent="0.25">
      <c r="A66" t="s">
        <v>45</v>
      </c>
      <c r="B66" s="116">
        <v>15</v>
      </c>
      <c r="C66" s="17">
        <f>TRUNC(100*Q66*(1-L7)*(1-N66))</f>
        <v>0</v>
      </c>
      <c r="D66" s="17">
        <f>TRUNC(70*Q66*(1-L7)*(1-N66))</f>
        <v>0</v>
      </c>
      <c r="E66" s="17"/>
      <c r="F66" s="17"/>
      <c r="G66" s="17"/>
      <c r="H66" s="17"/>
      <c r="I66" s="17"/>
      <c r="J66" s="17"/>
      <c r="K66" s="17"/>
      <c r="L66" s="18"/>
      <c r="M66" s="127" t="s">
        <v>173</v>
      </c>
      <c r="N66" s="124">
        <v>0</v>
      </c>
      <c r="O66" s="150">
        <f t="shared" si="11"/>
        <v>0</v>
      </c>
      <c r="P66" s="145">
        <f t="shared" si="7"/>
        <v>0</v>
      </c>
      <c r="Q66" s="146">
        <f t="shared" si="5"/>
        <v>0</v>
      </c>
    </row>
    <row r="67" spans="1:17" x14ac:dyDescent="0.25">
      <c r="A67" t="s">
        <v>46</v>
      </c>
      <c r="B67" s="116">
        <v>15</v>
      </c>
      <c r="C67" s="17">
        <f>TRUNC(120*Q67*(1-L7)*(1-N67))</f>
        <v>0</v>
      </c>
      <c r="D67" s="17">
        <f>TRUNC(50*Q67*(1-L7)*(1-N67))</f>
        <v>0</v>
      </c>
      <c r="E67" s="17"/>
      <c r="F67" s="17"/>
      <c r="G67" s="17"/>
      <c r="H67" s="17"/>
      <c r="I67" s="17"/>
      <c r="J67" s="17"/>
      <c r="K67" s="17"/>
      <c r="L67" s="18"/>
      <c r="M67" s="127" t="s">
        <v>173</v>
      </c>
      <c r="N67" s="124">
        <v>0</v>
      </c>
      <c r="O67" s="150">
        <f t="shared" si="11"/>
        <v>0</v>
      </c>
      <c r="P67" s="145">
        <f t="shared" si="7"/>
        <v>0</v>
      </c>
      <c r="Q67" s="146">
        <f t="shared" si="5"/>
        <v>0</v>
      </c>
    </row>
    <row r="68" spans="1:17" x14ac:dyDescent="0.25">
      <c r="A68" t="s">
        <v>47</v>
      </c>
      <c r="B68" s="116">
        <v>15</v>
      </c>
      <c r="C68" s="17"/>
      <c r="D68" s="17"/>
      <c r="E68" s="17"/>
      <c r="F68" s="17"/>
      <c r="G68" s="17">
        <f>TRUNC(100*Q68*(1-L7)*(1-N68))</f>
        <v>0</v>
      </c>
      <c r="H68" s="17"/>
      <c r="I68" s="17"/>
      <c r="J68" s="17"/>
      <c r="K68" s="17"/>
      <c r="L68" s="18">
        <f>TRUNC(70*Q68*(1-L7)*(1-N68))</f>
        <v>0</v>
      </c>
      <c r="M68" s="127" t="s">
        <v>173</v>
      </c>
      <c r="N68" s="124">
        <v>0</v>
      </c>
      <c r="O68" s="150">
        <f t="shared" si="11"/>
        <v>0</v>
      </c>
      <c r="P68" s="145">
        <f t="shared" si="7"/>
        <v>0</v>
      </c>
      <c r="Q68" s="146">
        <f t="shared" si="5"/>
        <v>0</v>
      </c>
    </row>
    <row r="69" spans="1:17" x14ac:dyDescent="0.25">
      <c r="A69" t="s">
        <v>48</v>
      </c>
      <c r="B69" s="116">
        <v>15</v>
      </c>
      <c r="C69" s="17"/>
      <c r="D69" s="17">
        <f>TRUNC(90*Q69*(1-L7)*(1-N69))</f>
        <v>0</v>
      </c>
      <c r="E69" s="17"/>
      <c r="F69" s="17"/>
      <c r="G69" s="17"/>
      <c r="H69" s="17">
        <f>TRUNC(80*Q69*(1-L7)*(1-N69))</f>
        <v>0</v>
      </c>
      <c r="I69" s="17"/>
      <c r="J69" s="17"/>
      <c r="K69" s="17"/>
      <c r="L69" s="18"/>
      <c r="M69" s="127" t="s">
        <v>173</v>
      </c>
      <c r="N69" s="124">
        <v>0</v>
      </c>
      <c r="O69" s="150">
        <f t="shared" si="11"/>
        <v>0</v>
      </c>
      <c r="P69" s="145">
        <f t="shared" si="7"/>
        <v>0</v>
      </c>
      <c r="Q69" s="146">
        <f t="shared" si="5"/>
        <v>0</v>
      </c>
    </row>
    <row r="70" spans="1:17" ht="15.75" thickBot="1" x14ac:dyDescent="0.3">
      <c r="A70" t="s">
        <v>104</v>
      </c>
      <c r="B70" s="116">
        <v>15</v>
      </c>
      <c r="C70" s="17"/>
      <c r="D70" s="17"/>
      <c r="E70" s="17"/>
      <c r="F70" s="17"/>
      <c r="G70" s="17">
        <f>TRUNC(70*Q70*(1-L7)*(1-N70))</f>
        <v>0</v>
      </c>
      <c r="H70" s="17">
        <f>TRUNC(100*Q70*(1-L7)*(1-N70))</f>
        <v>0</v>
      </c>
      <c r="I70" s="17"/>
      <c r="J70" s="17"/>
      <c r="K70" s="17"/>
      <c r="L70" s="18"/>
      <c r="M70" s="127" t="s">
        <v>173</v>
      </c>
      <c r="N70" s="124">
        <v>0</v>
      </c>
      <c r="O70" s="150">
        <f t="shared" si="11"/>
        <v>0</v>
      </c>
      <c r="P70" s="145">
        <f t="shared" si="7"/>
        <v>0</v>
      </c>
      <c r="Q70" s="146">
        <f t="shared" si="5"/>
        <v>0</v>
      </c>
    </row>
    <row r="71" spans="1:17" ht="15.75" thickBot="1" x14ac:dyDescent="0.3">
      <c r="A71" s="3" t="s">
        <v>49</v>
      </c>
      <c r="B71" s="117" t="s">
        <v>166</v>
      </c>
      <c r="C71" s="91" t="s">
        <v>8</v>
      </c>
      <c r="D71" s="92" t="s">
        <v>9</v>
      </c>
      <c r="E71" s="92" t="s">
        <v>10</v>
      </c>
      <c r="F71" s="92" t="s">
        <v>137</v>
      </c>
      <c r="G71" s="92" t="s">
        <v>11</v>
      </c>
      <c r="H71" s="92" t="s">
        <v>138</v>
      </c>
      <c r="I71" s="92" t="s">
        <v>139</v>
      </c>
      <c r="J71" s="92" t="s">
        <v>12</v>
      </c>
      <c r="K71" s="92" t="s">
        <v>13</v>
      </c>
      <c r="L71" s="93" t="s">
        <v>105</v>
      </c>
      <c r="M71" s="93"/>
      <c r="N71" s="93"/>
      <c r="O71" s="151"/>
      <c r="P71" s="147"/>
      <c r="Q71" s="148"/>
    </row>
    <row r="72" spans="1:17" x14ac:dyDescent="0.25">
      <c r="A72" t="s">
        <v>50</v>
      </c>
      <c r="B72" s="115">
        <v>15</v>
      </c>
      <c r="C72" s="15"/>
      <c r="D72" s="15"/>
      <c r="E72" s="15"/>
      <c r="F72" s="15">
        <f>TRUNC(110*Q72*(1-L7)*(1-N72))</f>
        <v>0</v>
      </c>
      <c r="G72" s="15"/>
      <c r="H72" s="15"/>
      <c r="I72" s="15">
        <f>TRUNC(100*Q72*(1-L7)*(1-N72))</f>
        <v>0</v>
      </c>
      <c r="J72" s="15"/>
      <c r="K72" s="15"/>
      <c r="L72" s="16"/>
      <c r="M72" s="127" t="s">
        <v>173</v>
      </c>
      <c r="N72" s="124">
        <v>0</v>
      </c>
      <c r="O72" s="149">
        <f>IF(E$6="Lenclume",60000*Q72*(1-L$7)*(1-N72),30000*Q72*(1-L$7)*(1-N72))</f>
        <v>0</v>
      </c>
      <c r="P72" s="145">
        <f t="shared" si="7"/>
        <v>0</v>
      </c>
      <c r="Q72" s="146">
        <f t="shared" si="5"/>
        <v>0</v>
      </c>
    </row>
    <row r="73" spans="1:17" x14ac:dyDescent="0.25">
      <c r="A73" t="s">
        <v>51</v>
      </c>
      <c r="B73" s="116">
        <v>15</v>
      </c>
      <c r="C73" s="17"/>
      <c r="D73" s="17"/>
      <c r="E73" s="17"/>
      <c r="F73" s="17"/>
      <c r="G73" s="17">
        <f>TRUNC(60*Q73*(1-L7)*(1-N73))</f>
        <v>0</v>
      </c>
      <c r="H73" s="17"/>
      <c r="I73" s="17"/>
      <c r="J73" s="17">
        <f>TRUNC(110*Q73*(1-L7)*(1-N73))</f>
        <v>0</v>
      </c>
      <c r="K73" s="17"/>
      <c r="L73" s="18"/>
      <c r="M73" s="127" t="s">
        <v>173</v>
      </c>
      <c r="N73" s="124">
        <v>0</v>
      </c>
      <c r="O73" s="150">
        <f t="shared" ref="O73:O79" si="12">30000*Q73*(1-L$7)*(1-N73)</f>
        <v>0</v>
      </c>
      <c r="P73" s="145">
        <f t="shared" si="7"/>
        <v>0</v>
      </c>
      <c r="Q73" s="146">
        <f t="shared" si="5"/>
        <v>0</v>
      </c>
    </row>
    <row r="74" spans="1:17" x14ac:dyDescent="0.25">
      <c r="A74" t="s">
        <v>52</v>
      </c>
      <c r="B74" s="116">
        <v>15</v>
      </c>
      <c r="C74" s="17"/>
      <c r="D74" s="17"/>
      <c r="E74" s="17"/>
      <c r="F74" s="17">
        <f>TRUNC(120*Q74*(1-L7)*(1-N74))</f>
        <v>0</v>
      </c>
      <c r="G74" s="17"/>
      <c r="H74" s="17"/>
      <c r="I74" s="17"/>
      <c r="J74" s="17">
        <f>TRUNC(50*Q74*(1-L7)*(1-N74))</f>
        <v>0</v>
      </c>
      <c r="K74" s="17"/>
      <c r="L74" s="18"/>
      <c r="M74" s="127" t="s">
        <v>173</v>
      </c>
      <c r="N74" s="124">
        <v>0</v>
      </c>
      <c r="O74" s="150">
        <f t="shared" si="12"/>
        <v>0</v>
      </c>
      <c r="P74" s="145">
        <f t="shared" si="7"/>
        <v>0</v>
      </c>
      <c r="Q74" s="146">
        <f t="shared" si="5"/>
        <v>0</v>
      </c>
    </row>
    <row r="75" spans="1:17" x14ac:dyDescent="0.25">
      <c r="A75" t="s">
        <v>53</v>
      </c>
      <c r="B75" s="116">
        <v>15</v>
      </c>
      <c r="C75" s="17"/>
      <c r="D75" s="17"/>
      <c r="E75" s="17"/>
      <c r="F75" s="17">
        <f>TRUNC(170*Q75*(1-L7)*(1-N75))</f>
        <v>0</v>
      </c>
      <c r="G75" s="17"/>
      <c r="H75" s="17"/>
      <c r="I75" s="17"/>
      <c r="J75" s="17"/>
      <c r="K75" s="17"/>
      <c r="L75" s="18"/>
      <c r="M75" s="127" t="s">
        <v>173</v>
      </c>
      <c r="N75" s="124">
        <v>0</v>
      </c>
      <c r="O75" s="150">
        <f t="shared" si="12"/>
        <v>0</v>
      </c>
      <c r="P75" s="145">
        <f t="shared" si="7"/>
        <v>0</v>
      </c>
      <c r="Q75" s="146">
        <f t="shared" si="5"/>
        <v>0</v>
      </c>
    </row>
    <row r="76" spans="1:17" x14ac:dyDescent="0.25">
      <c r="A76" t="s">
        <v>54</v>
      </c>
      <c r="B76" s="116">
        <v>15</v>
      </c>
      <c r="C76" s="17"/>
      <c r="D76" s="17"/>
      <c r="E76" s="17"/>
      <c r="F76" s="17"/>
      <c r="G76" s="17"/>
      <c r="H76" s="17"/>
      <c r="I76" s="17"/>
      <c r="J76" s="17">
        <f>TRUNC(170*Q76*(1-L7)*(1-N76))</f>
        <v>0</v>
      </c>
      <c r="K76" s="17"/>
      <c r="L76" s="18"/>
      <c r="M76" s="127" t="s">
        <v>173</v>
      </c>
      <c r="N76" s="124">
        <v>0</v>
      </c>
      <c r="O76" s="150">
        <f t="shared" si="12"/>
        <v>0</v>
      </c>
      <c r="P76" s="145">
        <f t="shared" si="7"/>
        <v>0</v>
      </c>
      <c r="Q76" s="146">
        <f t="shared" si="5"/>
        <v>0</v>
      </c>
    </row>
    <row r="77" spans="1:17" x14ac:dyDescent="0.25">
      <c r="A77" t="s">
        <v>55</v>
      </c>
      <c r="B77" s="116">
        <v>15</v>
      </c>
      <c r="C77" s="17"/>
      <c r="D77" s="17"/>
      <c r="E77" s="17">
        <f>TRUNC(120*Q77*(1-L7)*(1-N77))</f>
        <v>0</v>
      </c>
      <c r="F77" s="17"/>
      <c r="G77" s="17"/>
      <c r="H77" s="17"/>
      <c r="I77" s="17"/>
      <c r="J77" s="17"/>
      <c r="K77" s="17">
        <f>TRUNC(50*Q77*(1-L7)*(1-N77))</f>
        <v>0</v>
      </c>
      <c r="L77" s="18"/>
      <c r="M77" s="127" t="s">
        <v>173</v>
      </c>
      <c r="N77" s="124">
        <v>0</v>
      </c>
      <c r="O77" s="150">
        <f t="shared" si="12"/>
        <v>0</v>
      </c>
      <c r="P77" s="145">
        <f t="shared" si="7"/>
        <v>0</v>
      </c>
      <c r="Q77" s="146">
        <f t="shared" si="5"/>
        <v>0</v>
      </c>
    </row>
    <row r="78" spans="1:17" x14ac:dyDescent="0.25">
      <c r="A78" t="s">
        <v>56</v>
      </c>
      <c r="B78" s="116">
        <v>15</v>
      </c>
      <c r="C78" s="17"/>
      <c r="D78" s="17"/>
      <c r="E78" s="17">
        <f>TRUNC(120*Q78*(1-L7)*(1-N78))</f>
        <v>0</v>
      </c>
      <c r="F78" s="17"/>
      <c r="G78" s="17"/>
      <c r="H78" s="17"/>
      <c r="I78" s="17">
        <f>TRUNC(50*Q78*(1-L7)*(1-N78))</f>
        <v>0</v>
      </c>
      <c r="J78" s="17"/>
      <c r="K78" s="17"/>
      <c r="L78" s="18"/>
      <c r="M78" s="127" t="s">
        <v>173</v>
      </c>
      <c r="N78" s="124">
        <v>0</v>
      </c>
      <c r="O78" s="150">
        <f t="shared" si="12"/>
        <v>0</v>
      </c>
      <c r="P78" s="145">
        <f t="shared" si="7"/>
        <v>0</v>
      </c>
      <c r="Q78" s="146">
        <f t="shared" si="5"/>
        <v>0</v>
      </c>
    </row>
    <row r="79" spans="1:17" ht="15.75" thickBot="1" x14ac:dyDescent="0.3">
      <c r="A79" t="s">
        <v>57</v>
      </c>
      <c r="B79" s="116">
        <v>15</v>
      </c>
      <c r="C79" s="17"/>
      <c r="D79" s="17"/>
      <c r="E79" s="17"/>
      <c r="F79" s="17">
        <f>TRUNC(30*Q79*(1-L7)*(1-N79))</f>
        <v>0</v>
      </c>
      <c r="G79" s="17">
        <f>TRUNC(40*Q79*(1-L7)*(1-N79))</f>
        <v>0</v>
      </c>
      <c r="H79" s="17"/>
      <c r="I79" s="17"/>
      <c r="J79" s="17"/>
      <c r="K79" s="17">
        <f>TRUNC(100*Q79*(1-L7)*(1-N79))</f>
        <v>0</v>
      </c>
      <c r="L79" s="18"/>
      <c r="M79" s="127" t="s">
        <v>173</v>
      </c>
      <c r="N79" s="124">
        <v>0</v>
      </c>
      <c r="O79" s="150">
        <f t="shared" si="12"/>
        <v>0</v>
      </c>
      <c r="P79" s="145">
        <f t="shared" si="7"/>
        <v>0</v>
      </c>
      <c r="Q79" s="146">
        <f t="shared" si="5"/>
        <v>0</v>
      </c>
    </row>
    <row r="80" spans="1:17" ht="15.75" thickBot="1" x14ac:dyDescent="0.3">
      <c r="A80" s="3" t="s">
        <v>59</v>
      </c>
      <c r="B80" s="117" t="s">
        <v>166</v>
      </c>
      <c r="C80" s="91" t="s">
        <v>8</v>
      </c>
      <c r="D80" s="92" t="s">
        <v>9</v>
      </c>
      <c r="E80" s="92" t="s">
        <v>10</v>
      </c>
      <c r="F80" s="92" t="s">
        <v>137</v>
      </c>
      <c r="G80" s="92" t="s">
        <v>11</v>
      </c>
      <c r="H80" s="92" t="s">
        <v>138</v>
      </c>
      <c r="I80" s="92" t="s">
        <v>139</v>
      </c>
      <c r="J80" s="92" t="s">
        <v>12</v>
      </c>
      <c r="K80" s="92" t="s">
        <v>13</v>
      </c>
      <c r="L80" s="93" t="s">
        <v>105</v>
      </c>
      <c r="M80" s="93"/>
      <c r="N80" s="93"/>
      <c r="O80" s="151"/>
      <c r="P80" s="147"/>
      <c r="Q80" s="148"/>
    </row>
    <row r="81" spans="1:17" x14ac:dyDescent="0.25">
      <c r="A81" t="s">
        <v>60</v>
      </c>
      <c r="B81" s="115">
        <v>15</v>
      </c>
      <c r="C81" s="15"/>
      <c r="D81" s="15"/>
      <c r="E81" s="15"/>
      <c r="F81" s="15">
        <f>TRUNC(40*Q81*(1-L7)*(1-N81))</f>
        <v>0</v>
      </c>
      <c r="G81" s="15"/>
      <c r="H81" s="15">
        <f>TRUNC(120*Q81*(1-L7)*(1-N81))</f>
        <v>0</v>
      </c>
      <c r="I81" s="15">
        <f>TRUNC(TRUNC(20*Q81*(1-L7)*(1-N81)))</f>
        <v>0</v>
      </c>
      <c r="J81" s="15"/>
      <c r="K81" s="15"/>
      <c r="L81" s="16">
        <f>TRUNC(20*Q81*(1-L7)*(1-N81))</f>
        <v>0</v>
      </c>
      <c r="M81" s="127" t="s">
        <v>173</v>
      </c>
      <c r="N81" s="124">
        <v>0</v>
      </c>
      <c r="O81" s="149">
        <f>IF(E$6="Marais Noir",60000*Q81*(1-L$7)*(1-N81),30000*Q81*(1-L$7)*(1-N81))</f>
        <v>0</v>
      </c>
      <c r="P81" s="145">
        <f t="shared" si="7"/>
        <v>0</v>
      </c>
      <c r="Q81" s="146">
        <f t="shared" si="5"/>
        <v>0</v>
      </c>
    </row>
    <row r="82" spans="1:17" x14ac:dyDescent="0.25">
      <c r="A82" t="s">
        <v>61</v>
      </c>
      <c r="B82" s="116">
        <v>15</v>
      </c>
      <c r="C82" s="17">
        <f>TRUNC(30*Q82*(1-L7)*(1-N82))</f>
        <v>0</v>
      </c>
      <c r="D82" s="17"/>
      <c r="E82" s="17"/>
      <c r="F82" s="17"/>
      <c r="G82" s="17"/>
      <c r="H82" s="17"/>
      <c r="I82" s="17"/>
      <c r="J82" s="17">
        <f>TRUNC(140*Q82*(1-L7)*(1-N82))</f>
        <v>0</v>
      </c>
      <c r="K82" s="17"/>
      <c r="L82" s="18"/>
      <c r="M82" s="127" t="s">
        <v>173</v>
      </c>
      <c r="N82" s="124">
        <v>0</v>
      </c>
      <c r="O82" s="150">
        <f t="shared" ref="O82:O88" si="13">30000*Q82*(1-L$7)*(1-N82)</f>
        <v>0</v>
      </c>
      <c r="P82" s="145">
        <f t="shared" si="7"/>
        <v>0</v>
      </c>
      <c r="Q82" s="146">
        <f t="shared" si="5"/>
        <v>0</v>
      </c>
    </row>
    <row r="83" spans="1:17" x14ac:dyDescent="0.25">
      <c r="A83" t="s">
        <v>62</v>
      </c>
      <c r="B83" s="116">
        <v>15</v>
      </c>
      <c r="C83" s="17"/>
      <c r="D83" s="17"/>
      <c r="E83" s="17"/>
      <c r="F83" s="17">
        <f>TRUNC(170*Q83*(1-L7)*(1-N83))</f>
        <v>0</v>
      </c>
      <c r="G83" s="17"/>
      <c r="H83" s="17"/>
      <c r="I83" s="17"/>
      <c r="J83" s="17"/>
      <c r="K83" s="17"/>
      <c r="L83" s="18"/>
      <c r="M83" s="127" t="s">
        <v>173</v>
      </c>
      <c r="N83" s="124">
        <v>0</v>
      </c>
      <c r="O83" s="150">
        <f t="shared" si="13"/>
        <v>0</v>
      </c>
      <c r="P83" s="145">
        <f t="shared" si="7"/>
        <v>0</v>
      </c>
      <c r="Q83" s="146">
        <f t="shared" si="5"/>
        <v>0</v>
      </c>
    </row>
    <row r="84" spans="1:17" x14ac:dyDescent="0.25">
      <c r="A84" t="s">
        <v>63</v>
      </c>
      <c r="B84" s="116">
        <v>15</v>
      </c>
      <c r="C84" s="17"/>
      <c r="D84" s="17">
        <f>TRUNC(50*Q84*(1-L7)*(1-N84))</f>
        <v>0</v>
      </c>
      <c r="E84" s="17"/>
      <c r="F84" s="17">
        <f>TRUNC(100*Q84*(1-L7)*(1-N84))</f>
        <v>0</v>
      </c>
      <c r="G84" s="17"/>
      <c r="H84" s="17">
        <f>TRUNC(20*Q84*(1-L7)*(1-N84))</f>
        <v>0</v>
      </c>
      <c r="I84" s="17"/>
      <c r="J84" s="17"/>
      <c r="K84" s="17"/>
      <c r="L84" s="18"/>
      <c r="M84" s="127" t="s">
        <v>173</v>
      </c>
      <c r="N84" s="124">
        <v>0</v>
      </c>
      <c r="O84" s="150">
        <f t="shared" si="13"/>
        <v>0</v>
      </c>
      <c r="P84" s="145">
        <f t="shared" si="7"/>
        <v>0</v>
      </c>
      <c r="Q84" s="146">
        <f t="shared" si="5"/>
        <v>0</v>
      </c>
    </row>
    <row r="85" spans="1:17" x14ac:dyDescent="0.25">
      <c r="A85" t="s">
        <v>64</v>
      </c>
      <c r="B85" s="116">
        <v>15</v>
      </c>
      <c r="C85" s="17"/>
      <c r="D85" s="17"/>
      <c r="E85" s="17"/>
      <c r="F85" s="17">
        <f>TRUNC(40*Q85*(1-L7)*(1-N85))</f>
        <v>0</v>
      </c>
      <c r="G85" s="17"/>
      <c r="H85" s="17"/>
      <c r="I85" s="17"/>
      <c r="J85" s="17"/>
      <c r="K85" s="17"/>
      <c r="L85" s="18">
        <f>TRUNC(130*Q85*(1-L7)*(1-N85))</f>
        <v>0</v>
      </c>
      <c r="M85" s="127" t="s">
        <v>173</v>
      </c>
      <c r="N85" s="124">
        <v>0</v>
      </c>
      <c r="O85" s="150">
        <f t="shared" si="13"/>
        <v>0</v>
      </c>
      <c r="P85" s="145">
        <f t="shared" si="7"/>
        <v>0</v>
      </c>
      <c r="Q85" s="146">
        <f t="shared" si="5"/>
        <v>0</v>
      </c>
    </row>
    <row r="86" spans="1:17" x14ac:dyDescent="0.25">
      <c r="A86" t="s">
        <v>65</v>
      </c>
      <c r="B86" s="116">
        <v>15</v>
      </c>
      <c r="C86" s="17"/>
      <c r="D86" s="17"/>
      <c r="E86" s="17"/>
      <c r="F86" s="17"/>
      <c r="G86" s="17"/>
      <c r="H86" s="17">
        <f>TRUNC(170*Q86*(1-L7)*(1-N86))</f>
        <v>0</v>
      </c>
      <c r="I86" s="17"/>
      <c r="J86" s="17"/>
      <c r="K86" s="17"/>
      <c r="L86" s="18"/>
      <c r="M86" s="127" t="s">
        <v>173</v>
      </c>
      <c r="N86" s="124">
        <v>0</v>
      </c>
      <c r="O86" s="150">
        <f t="shared" si="13"/>
        <v>0</v>
      </c>
      <c r="P86" s="145">
        <f t="shared" si="7"/>
        <v>0</v>
      </c>
      <c r="Q86" s="146">
        <f t="shared" si="5"/>
        <v>0</v>
      </c>
    </row>
    <row r="87" spans="1:17" x14ac:dyDescent="0.25">
      <c r="A87" t="s">
        <v>66</v>
      </c>
      <c r="B87" s="116">
        <v>15</v>
      </c>
      <c r="C87" s="17"/>
      <c r="D87" s="17"/>
      <c r="E87" s="17"/>
      <c r="F87" s="17"/>
      <c r="G87" s="17"/>
      <c r="H87" s="17">
        <f>TRUNC(40*Q87*(1-L7)*(1-N87))</f>
        <v>0</v>
      </c>
      <c r="I87" s="17">
        <f>TRUNC(130*Q87*(1-L7)*(1-N87))</f>
        <v>0</v>
      </c>
      <c r="J87" s="17"/>
      <c r="K87" s="17"/>
      <c r="L87" s="18"/>
      <c r="M87" s="127" t="s">
        <v>173</v>
      </c>
      <c r="N87" s="124">
        <v>0</v>
      </c>
      <c r="O87" s="150">
        <f t="shared" si="13"/>
        <v>0</v>
      </c>
      <c r="P87" s="145">
        <f t="shared" si="7"/>
        <v>0</v>
      </c>
      <c r="Q87" s="146">
        <f t="shared" si="5"/>
        <v>0</v>
      </c>
    </row>
    <row r="88" spans="1:17" ht="15.75" thickBot="1" x14ac:dyDescent="0.3">
      <c r="A88" t="s">
        <v>67</v>
      </c>
      <c r="B88" s="116">
        <v>15</v>
      </c>
      <c r="C88" s="17"/>
      <c r="D88" s="17"/>
      <c r="E88" s="17"/>
      <c r="F88" s="17"/>
      <c r="G88" s="17"/>
      <c r="H88" s="17">
        <f>TRUNC(100*Q88*(1-L7)*(1-N88))</f>
        <v>0</v>
      </c>
      <c r="I88" s="17">
        <f>TRUNC(70*Q88*(1-L7)*(1-N88))</f>
        <v>0</v>
      </c>
      <c r="J88" s="17"/>
      <c r="K88" s="17"/>
      <c r="L88" s="18"/>
      <c r="M88" s="127" t="s">
        <v>173</v>
      </c>
      <c r="N88" s="124">
        <v>0</v>
      </c>
      <c r="O88" s="150">
        <f t="shared" si="13"/>
        <v>0</v>
      </c>
      <c r="P88" s="145">
        <f t="shared" si="7"/>
        <v>0</v>
      </c>
      <c r="Q88" s="146">
        <f t="shared" si="5"/>
        <v>0</v>
      </c>
    </row>
    <row r="89" spans="1:17" ht="15.75" thickBot="1" x14ac:dyDescent="0.3">
      <c r="A89" s="3" t="s">
        <v>68</v>
      </c>
      <c r="B89" s="117" t="s">
        <v>166</v>
      </c>
      <c r="C89" s="91" t="s">
        <v>8</v>
      </c>
      <c r="D89" s="92" t="s">
        <v>9</v>
      </c>
      <c r="E89" s="92" t="s">
        <v>10</v>
      </c>
      <c r="F89" s="92" t="s">
        <v>137</v>
      </c>
      <c r="G89" s="92" t="s">
        <v>11</v>
      </c>
      <c r="H89" s="92" t="s">
        <v>138</v>
      </c>
      <c r="I89" s="92" t="s">
        <v>139</v>
      </c>
      <c r="J89" s="92" t="s">
        <v>12</v>
      </c>
      <c r="K89" s="92" t="s">
        <v>13</v>
      </c>
      <c r="L89" s="93" t="s">
        <v>105</v>
      </c>
      <c r="M89" s="93"/>
      <c r="N89" s="93"/>
      <c r="O89" s="151"/>
      <c r="P89" s="147"/>
      <c r="Q89" s="148"/>
    </row>
    <row r="90" spans="1:17" x14ac:dyDescent="0.25">
      <c r="A90" t="s">
        <v>69</v>
      </c>
      <c r="B90" s="115">
        <v>15</v>
      </c>
      <c r="C90" s="15"/>
      <c r="D90" s="15"/>
      <c r="E90" s="15">
        <f>TRUNC(20*Q90*(1-L7)*(1-N90))</f>
        <v>0</v>
      </c>
      <c r="F90" s="15"/>
      <c r="G90" s="15">
        <f>TRUNC(20*Q90*(1-L7)*(1-N90))</f>
        <v>0</v>
      </c>
      <c r="H90" s="15">
        <f>TRUNC(90*Q90*(1-L7)*(1-N90))</f>
        <v>0</v>
      </c>
      <c r="I90" s="15"/>
      <c r="J90" s="15">
        <f>TRUNC(20*Q90*(1-L7)*(1-N90))</f>
        <v>0</v>
      </c>
      <c r="K90" s="15"/>
      <c r="L90" s="16">
        <f>TRUNC(60*Q90*(1-L7)*(1-N90))</f>
        <v>0</v>
      </c>
      <c r="M90" s="127" t="s">
        <v>173</v>
      </c>
      <c r="N90" s="124">
        <v>0</v>
      </c>
      <c r="O90" s="149">
        <f>IF(E$6="Morrowind",60000*Q90*(1-L$7)*(1-N90),30000*Q90*(1-L$7)*(1-N90))</f>
        <v>0</v>
      </c>
      <c r="P90" s="145">
        <f t="shared" si="7"/>
        <v>0</v>
      </c>
      <c r="Q90" s="146">
        <f t="shared" si="5"/>
        <v>0</v>
      </c>
    </row>
    <row r="91" spans="1:17" x14ac:dyDescent="0.25">
      <c r="A91" t="s">
        <v>70</v>
      </c>
      <c r="B91" s="116">
        <v>15</v>
      </c>
      <c r="C91" s="17"/>
      <c r="D91" s="17"/>
      <c r="E91" s="17"/>
      <c r="F91" s="17"/>
      <c r="G91" s="17">
        <f>TRUNC(170*Q91*(1-L7)*(1-N91))</f>
        <v>0</v>
      </c>
      <c r="H91" s="17"/>
      <c r="I91" s="17"/>
      <c r="J91" s="17"/>
      <c r="K91" s="17"/>
      <c r="L91" s="18"/>
      <c r="M91" s="127" t="s">
        <v>173</v>
      </c>
      <c r="N91" s="124">
        <v>0</v>
      </c>
      <c r="O91" s="150">
        <f t="shared" ref="O91:O97" si="14">30000*Q91*(1-L$7)*(1-N91)</f>
        <v>0</v>
      </c>
      <c r="P91" s="145">
        <f t="shared" si="7"/>
        <v>0</v>
      </c>
      <c r="Q91" s="146">
        <f t="shared" si="5"/>
        <v>0</v>
      </c>
    </row>
    <row r="92" spans="1:17" x14ac:dyDescent="0.25">
      <c r="A92" t="s">
        <v>71</v>
      </c>
      <c r="B92" s="116">
        <v>15</v>
      </c>
      <c r="C92" s="17">
        <f>TRUNC(70*Q92*(1-L7)*(1-N92))</f>
        <v>0</v>
      </c>
      <c r="D92" s="17"/>
      <c r="E92" s="17"/>
      <c r="F92" s="17"/>
      <c r="G92" s="17"/>
      <c r="H92" s="17"/>
      <c r="I92" s="17"/>
      <c r="J92" s="17"/>
      <c r="K92" s="17"/>
      <c r="L92" s="18">
        <f>TRUNC(100*Q92*(1-L7)*(1-N92))</f>
        <v>0</v>
      </c>
      <c r="M92" s="127" t="s">
        <v>173</v>
      </c>
      <c r="N92" s="124">
        <v>0</v>
      </c>
      <c r="O92" s="150">
        <f t="shared" si="14"/>
        <v>0</v>
      </c>
      <c r="P92" s="145">
        <f t="shared" si="7"/>
        <v>0</v>
      </c>
      <c r="Q92" s="146">
        <f t="shared" ref="Q92:Q111" si="15">IF(M92="Possédée",1,IF(M92="Assiégée",0.5,0))</f>
        <v>0</v>
      </c>
    </row>
    <row r="93" spans="1:17" x14ac:dyDescent="0.25">
      <c r="A93" t="s">
        <v>72</v>
      </c>
      <c r="B93" s="116">
        <v>15</v>
      </c>
      <c r="C93" s="17"/>
      <c r="D93" s="17"/>
      <c r="E93" s="17">
        <f>TRUNC(60*Q93*(1-L7)*(1-N93))</f>
        <v>0</v>
      </c>
      <c r="F93" s="17"/>
      <c r="G93" s="17"/>
      <c r="H93" s="17"/>
      <c r="I93" s="17"/>
      <c r="J93" s="17"/>
      <c r="K93" s="17">
        <f>TRUNC(110*Q93*(1-L7)*(1-N93))</f>
        <v>0</v>
      </c>
      <c r="L93" s="18"/>
      <c r="M93" s="127" t="s">
        <v>173</v>
      </c>
      <c r="N93" s="124">
        <v>0</v>
      </c>
      <c r="O93" s="150">
        <f t="shared" si="14"/>
        <v>0</v>
      </c>
      <c r="P93" s="145">
        <f t="shared" ref="P93:P118" si="16">IF(OR(M93="Possédée",M93="Assiégée"),B93,0)</f>
        <v>0</v>
      </c>
      <c r="Q93" s="146">
        <f t="shared" si="15"/>
        <v>0</v>
      </c>
    </row>
    <row r="94" spans="1:17" x14ac:dyDescent="0.25">
      <c r="A94" t="s">
        <v>73</v>
      </c>
      <c r="B94" s="116">
        <v>15</v>
      </c>
      <c r="C94" s="17"/>
      <c r="D94" s="17"/>
      <c r="E94" s="17"/>
      <c r="F94" s="17"/>
      <c r="G94" s="17">
        <f>TRUNC(100*Q94*(1-L7)*(1-N94))</f>
        <v>0</v>
      </c>
      <c r="H94" s="17">
        <f>TRUNC(50*Q94*(1-L7)*(1-N94))</f>
        <v>0</v>
      </c>
      <c r="I94" s="17"/>
      <c r="J94" s="17"/>
      <c r="K94" s="17"/>
      <c r="L94" s="18">
        <f>TRUNC(20*Q94*(1-L7)*(1-N94))</f>
        <v>0</v>
      </c>
      <c r="M94" s="127" t="s">
        <v>173</v>
      </c>
      <c r="N94" s="124">
        <v>0</v>
      </c>
      <c r="O94" s="150">
        <f t="shared" si="14"/>
        <v>0</v>
      </c>
      <c r="P94" s="145">
        <f t="shared" si="16"/>
        <v>0</v>
      </c>
      <c r="Q94" s="146">
        <f t="shared" si="15"/>
        <v>0</v>
      </c>
    </row>
    <row r="95" spans="1:17" x14ac:dyDescent="0.25">
      <c r="A95" t="s">
        <v>74</v>
      </c>
      <c r="B95" s="116">
        <v>15</v>
      </c>
      <c r="C95" s="17"/>
      <c r="D95" s="17"/>
      <c r="E95" s="17">
        <f>TRUNC(100*Q95*(1-L7)*(1-N95))</f>
        <v>0</v>
      </c>
      <c r="F95" s="17"/>
      <c r="G95" s="17">
        <f>TRUNC(70*Q95*(1-L7)*(1-N95))</f>
        <v>0</v>
      </c>
      <c r="H95" s="17"/>
      <c r="I95" s="17"/>
      <c r="J95" s="17"/>
      <c r="K95" s="17"/>
      <c r="L95" s="18"/>
      <c r="M95" s="127" t="s">
        <v>173</v>
      </c>
      <c r="N95" s="124">
        <v>0</v>
      </c>
      <c r="O95" s="150">
        <f t="shared" si="14"/>
        <v>0</v>
      </c>
      <c r="P95" s="145">
        <f t="shared" si="16"/>
        <v>0</v>
      </c>
      <c r="Q95" s="146">
        <f t="shared" si="15"/>
        <v>0</v>
      </c>
    </row>
    <row r="96" spans="1:17" x14ac:dyDescent="0.25">
      <c r="A96" t="s">
        <v>75</v>
      </c>
      <c r="B96" s="116">
        <v>15</v>
      </c>
      <c r="C96" s="17"/>
      <c r="D96" s="17"/>
      <c r="E96" s="17">
        <f>TRUNC(120*Q96*(1-L7)*(1-N96))</f>
        <v>0</v>
      </c>
      <c r="F96" s="17"/>
      <c r="G96" s="17"/>
      <c r="H96" s="17"/>
      <c r="I96" s="17"/>
      <c r="J96" s="17"/>
      <c r="K96" s="17">
        <f>TRUNC(50*Q96*(1-L7)*(1-N96))</f>
        <v>0</v>
      </c>
      <c r="L96" s="18"/>
      <c r="M96" s="127" t="s">
        <v>173</v>
      </c>
      <c r="N96" s="124">
        <v>0</v>
      </c>
      <c r="O96" s="150">
        <f t="shared" si="14"/>
        <v>0</v>
      </c>
      <c r="P96" s="145">
        <f t="shared" si="16"/>
        <v>0</v>
      </c>
      <c r="Q96" s="146">
        <f t="shared" si="15"/>
        <v>0</v>
      </c>
    </row>
    <row r="97" spans="1:17" ht="15.75" thickBot="1" x14ac:dyDescent="0.3">
      <c r="A97" t="s">
        <v>76</v>
      </c>
      <c r="B97" s="116">
        <v>15</v>
      </c>
      <c r="C97" s="17"/>
      <c r="D97" s="17"/>
      <c r="E97" s="17">
        <f>TRUNC(170*Q97*(1-L7)*(1-N97))</f>
        <v>0</v>
      </c>
      <c r="F97" s="17"/>
      <c r="G97" s="17"/>
      <c r="H97" s="17"/>
      <c r="I97" s="17"/>
      <c r="J97" s="17"/>
      <c r="K97" s="17"/>
      <c r="L97" s="18"/>
      <c r="M97" s="127" t="s">
        <v>173</v>
      </c>
      <c r="N97" s="124">
        <v>0</v>
      </c>
      <c r="O97" s="150">
        <f t="shared" si="14"/>
        <v>0</v>
      </c>
      <c r="P97" s="145">
        <f t="shared" si="16"/>
        <v>0</v>
      </c>
      <c r="Q97" s="146">
        <f t="shared" si="15"/>
        <v>0</v>
      </c>
    </row>
    <row r="98" spans="1:17" ht="15.75" thickBot="1" x14ac:dyDescent="0.3">
      <c r="A98" s="3" t="s">
        <v>77</v>
      </c>
      <c r="B98" s="117" t="s">
        <v>166</v>
      </c>
      <c r="C98" s="91" t="s">
        <v>8</v>
      </c>
      <c r="D98" s="92" t="s">
        <v>9</v>
      </c>
      <c r="E98" s="92" t="s">
        <v>10</v>
      </c>
      <c r="F98" s="92" t="s">
        <v>137</v>
      </c>
      <c r="G98" s="92" t="s">
        <v>11</v>
      </c>
      <c r="H98" s="92" t="s">
        <v>138</v>
      </c>
      <c r="I98" s="92" t="s">
        <v>139</v>
      </c>
      <c r="J98" s="92" t="s">
        <v>12</v>
      </c>
      <c r="K98" s="92" t="s">
        <v>13</v>
      </c>
      <c r="L98" s="93" t="s">
        <v>105</v>
      </c>
      <c r="M98" s="93"/>
      <c r="N98" s="93"/>
      <c r="O98" s="151"/>
      <c r="P98" s="147"/>
      <c r="Q98" s="148"/>
    </row>
    <row r="99" spans="1:17" x14ac:dyDescent="0.25">
      <c r="A99" t="s">
        <v>78</v>
      </c>
      <c r="B99" s="115">
        <v>15</v>
      </c>
      <c r="C99" s="15"/>
      <c r="D99" s="15"/>
      <c r="E99" s="15"/>
      <c r="F99" s="15"/>
      <c r="G99" s="15">
        <f>TRUNC(30*Q99*(1-L7)*(1-N99))</f>
        <v>0</v>
      </c>
      <c r="H99" s="15">
        <f>TRUNC(40*Q99*(1-L7)*(1-N99))</f>
        <v>0</v>
      </c>
      <c r="I99" s="15">
        <f>TRUNC(140*Q99*(1-L7)*(1-N99))</f>
        <v>0</v>
      </c>
      <c r="J99" s="15"/>
      <c r="K99" s="15"/>
      <c r="L99" s="16"/>
      <c r="M99" s="127" t="s">
        <v>173</v>
      </c>
      <c r="N99" s="124">
        <v>0</v>
      </c>
      <c r="O99" s="149">
        <f>IF(E$6="Val-Boisé",60000*Q99*(1-L$7)*(1-N99),30000*Q99*(1-L$7)*(1-N99))</f>
        <v>0</v>
      </c>
      <c r="P99" s="145">
        <f t="shared" si="16"/>
        <v>0</v>
      </c>
      <c r="Q99" s="146">
        <f t="shared" si="15"/>
        <v>0</v>
      </c>
    </row>
    <row r="100" spans="1:17" x14ac:dyDescent="0.25">
      <c r="A100" t="s">
        <v>79</v>
      </c>
      <c r="B100" s="116">
        <v>15</v>
      </c>
      <c r="C100" s="17"/>
      <c r="D100" s="17"/>
      <c r="E100" s="17"/>
      <c r="F100" s="17"/>
      <c r="G100" s="17"/>
      <c r="H100" s="17"/>
      <c r="I100" s="17">
        <f>TRUNC(50*Q100*(1-L7)*(1-N100))</f>
        <v>0</v>
      </c>
      <c r="J100" s="17">
        <f>TRUNC(120*Q100*(1-L7)*(1-N100))</f>
        <v>0</v>
      </c>
      <c r="K100" s="17"/>
      <c r="L100" s="18"/>
      <c r="M100" s="127" t="s">
        <v>173</v>
      </c>
      <c r="N100" s="124">
        <v>0</v>
      </c>
      <c r="O100" s="150">
        <f t="shared" ref="O100:O106" si="17">30000*Q100*(1-L$7)*(1-N100)</f>
        <v>0</v>
      </c>
      <c r="P100" s="145">
        <f t="shared" si="16"/>
        <v>0</v>
      </c>
      <c r="Q100" s="146">
        <f t="shared" si="15"/>
        <v>0</v>
      </c>
    </row>
    <row r="101" spans="1:17" x14ac:dyDescent="0.25">
      <c r="A101" t="s">
        <v>80</v>
      </c>
      <c r="B101" s="116">
        <v>15</v>
      </c>
      <c r="C101" s="17"/>
      <c r="D101" s="17"/>
      <c r="E101" s="17"/>
      <c r="F101" s="17">
        <f>TRUNC(70*Q101*(1-L7)*(1-N101))</f>
        <v>0</v>
      </c>
      <c r="G101" s="17">
        <f>TRUNC(40*Q101*(1-L7)*(1-N101))</f>
        <v>0</v>
      </c>
      <c r="H101" s="17"/>
      <c r="I101" s="17"/>
      <c r="J101" s="17"/>
      <c r="K101" s="17">
        <f>TRUNC(20*Q101*(1-L7)*(1-N101))</f>
        <v>0</v>
      </c>
      <c r="L101" s="18">
        <f>TRUNC(40*Q101*(1-L7)*(1-N101))</f>
        <v>0</v>
      </c>
      <c r="M101" s="127" t="s">
        <v>173</v>
      </c>
      <c r="N101" s="124">
        <v>0</v>
      </c>
      <c r="O101" s="150">
        <f t="shared" si="17"/>
        <v>0</v>
      </c>
      <c r="P101" s="145">
        <f t="shared" si="16"/>
        <v>0</v>
      </c>
      <c r="Q101" s="146">
        <f t="shared" si="15"/>
        <v>0</v>
      </c>
    </row>
    <row r="102" spans="1:17" x14ac:dyDescent="0.25">
      <c r="A102" t="s">
        <v>81</v>
      </c>
      <c r="B102" s="116">
        <v>15</v>
      </c>
      <c r="C102" s="17"/>
      <c r="D102" s="17"/>
      <c r="E102" s="17"/>
      <c r="F102" s="17"/>
      <c r="G102" s="17"/>
      <c r="H102" s="17"/>
      <c r="I102" s="17">
        <f>TRUNC(170*Q102*(1-L7)*(1-N102))</f>
        <v>0</v>
      </c>
      <c r="J102" s="17"/>
      <c r="K102" s="17"/>
      <c r="L102" s="18"/>
      <c r="M102" s="127" t="s">
        <v>173</v>
      </c>
      <c r="N102" s="124">
        <v>0</v>
      </c>
      <c r="O102" s="150">
        <f t="shared" si="17"/>
        <v>0</v>
      </c>
      <c r="P102" s="145">
        <f t="shared" si="16"/>
        <v>0</v>
      </c>
      <c r="Q102" s="146">
        <f t="shared" si="15"/>
        <v>0</v>
      </c>
    </row>
    <row r="103" spans="1:17" x14ac:dyDescent="0.25">
      <c r="A103" t="s">
        <v>82</v>
      </c>
      <c r="B103" s="116">
        <v>15</v>
      </c>
      <c r="C103" s="17">
        <f>TRUNC(100*Q103*(1-L7)*(1-N103))</f>
        <v>0</v>
      </c>
      <c r="D103" s="17"/>
      <c r="E103" s="17"/>
      <c r="F103" s="17"/>
      <c r="G103" s="17"/>
      <c r="H103" s="17"/>
      <c r="I103" s="17"/>
      <c r="J103" s="17">
        <f>TRUNC(70*Q103*(1-L7)*(1-N103))</f>
        <v>0</v>
      </c>
      <c r="K103" s="17"/>
      <c r="L103" s="18"/>
      <c r="M103" s="127" t="s">
        <v>173</v>
      </c>
      <c r="N103" s="124">
        <v>0</v>
      </c>
      <c r="O103" s="150">
        <f t="shared" si="17"/>
        <v>0</v>
      </c>
      <c r="P103" s="145">
        <f t="shared" si="16"/>
        <v>0</v>
      </c>
      <c r="Q103" s="146">
        <f t="shared" si="15"/>
        <v>0</v>
      </c>
    </row>
    <row r="104" spans="1:17" x14ac:dyDescent="0.25">
      <c r="A104" t="s">
        <v>83</v>
      </c>
      <c r="B104" s="116">
        <v>15</v>
      </c>
      <c r="C104" s="17">
        <f>TRUNC(170*Q104*(1-L7)*(1-N104))</f>
        <v>0</v>
      </c>
      <c r="D104" s="17"/>
      <c r="E104" s="17"/>
      <c r="F104" s="17"/>
      <c r="G104" s="17"/>
      <c r="H104" s="17"/>
      <c r="I104" s="17"/>
      <c r="J104" s="17"/>
      <c r="K104" s="17"/>
      <c r="L104" s="18"/>
      <c r="M104" s="127" t="s">
        <v>173</v>
      </c>
      <c r="N104" s="124">
        <v>0</v>
      </c>
      <c r="O104" s="150">
        <f t="shared" si="17"/>
        <v>0</v>
      </c>
      <c r="P104" s="145">
        <f t="shared" si="16"/>
        <v>0</v>
      </c>
      <c r="Q104" s="146">
        <f t="shared" si="15"/>
        <v>0</v>
      </c>
    </row>
    <row r="105" spans="1:17" x14ac:dyDescent="0.25">
      <c r="A105" t="s">
        <v>84</v>
      </c>
      <c r="B105" s="116">
        <v>15</v>
      </c>
      <c r="C105" s="17"/>
      <c r="D105" s="17"/>
      <c r="E105" s="17"/>
      <c r="F105" s="17"/>
      <c r="G105" s="17"/>
      <c r="H105" s="17">
        <f>TRUNC(170*Q105*(1-L7)*(1-N105))</f>
        <v>0</v>
      </c>
      <c r="I105" s="17"/>
      <c r="J105" s="17"/>
      <c r="K105" s="17"/>
      <c r="L105" s="18"/>
      <c r="M105" s="127" t="s">
        <v>173</v>
      </c>
      <c r="N105" s="124">
        <v>0</v>
      </c>
      <c r="O105" s="150">
        <f t="shared" si="17"/>
        <v>0</v>
      </c>
      <c r="P105" s="145">
        <f t="shared" si="16"/>
        <v>0</v>
      </c>
      <c r="Q105" s="146">
        <f t="shared" si="15"/>
        <v>0</v>
      </c>
    </row>
    <row r="106" spans="1:17" ht="15.75" thickBot="1" x14ac:dyDescent="0.3">
      <c r="A106" t="s">
        <v>85</v>
      </c>
      <c r="B106" s="116">
        <v>15</v>
      </c>
      <c r="C106" s="17">
        <f>TRUNC(60*Q106*(1-L7)*(1-N106))</f>
        <v>0</v>
      </c>
      <c r="D106" s="17"/>
      <c r="E106" s="17"/>
      <c r="F106" s="17"/>
      <c r="G106" s="17"/>
      <c r="H106" s="17"/>
      <c r="I106" s="17">
        <f>TRUNC(110*Q106*(1-L7)*(1-N106))</f>
        <v>0</v>
      </c>
      <c r="J106" s="17"/>
      <c r="K106" s="17"/>
      <c r="L106" s="18"/>
      <c r="M106" s="127" t="s">
        <v>173</v>
      </c>
      <c r="N106" s="124">
        <v>0</v>
      </c>
      <c r="O106" s="150">
        <f t="shared" si="17"/>
        <v>0</v>
      </c>
      <c r="P106" s="145">
        <f t="shared" si="16"/>
        <v>0</v>
      </c>
      <c r="Q106" s="146">
        <f t="shared" si="15"/>
        <v>0</v>
      </c>
    </row>
    <row r="107" spans="1:17" ht="15.75" thickBot="1" x14ac:dyDescent="0.3">
      <c r="A107" s="3" t="s">
        <v>86</v>
      </c>
      <c r="B107" s="117" t="s">
        <v>166</v>
      </c>
      <c r="C107" s="91" t="s">
        <v>8</v>
      </c>
      <c r="D107" s="92" t="s">
        <v>9</v>
      </c>
      <c r="E107" s="92" t="s">
        <v>10</v>
      </c>
      <c r="F107" s="92" t="s">
        <v>137</v>
      </c>
      <c r="G107" s="92" t="s">
        <v>11</v>
      </c>
      <c r="H107" s="92" t="s">
        <v>138</v>
      </c>
      <c r="I107" s="92" t="s">
        <v>139</v>
      </c>
      <c r="J107" s="92" t="s">
        <v>12</v>
      </c>
      <c r="K107" s="92" t="s">
        <v>13</v>
      </c>
      <c r="L107" s="93" t="s">
        <v>105</v>
      </c>
      <c r="M107" s="93"/>
      <c r="N107" s="93"/>
      <c r="O107" s="151"/>
      <c r="P107" s="147"/>
      <c r="Q107" s="148"/>
    </row>
    <row r="108" spans="1:17" x14ac:dyDescent="0.25">
      <c r="A108" t="s">
        <v>89</v>
      </c>
      <c r="B108" s="115">
        <v>15</v>
      </c>
      <c r="C108" s="15"/>
      <c r="D108" s="15"/>
      <c r="E108" s="15">
        <f>TRUNC(90*Q108*(1-L7)*(1-N108))</f>
        <v>0</v>
      </c>
      <c r="F108" s="15"/>
      <c r="G108" s="15"/>
      <c r="H108" s="15"/>
      <c r="I108" s="15"/>
      <c r="J108" s="15"/>
      <c r="K108" s="15">
        <f>TRUNC(120*Q108*(1-L7)*(1-N108))</f>
        <v>0</v>
      </c>
      <c r="L108" s="16"/>
      <c r="M108" s="127" t="s">
        <v>173</v>
      </c>
      <c r="N108" s="124">
        <v>0</v>
      </c>
      <c r="O108" s="149">
        <f>IF(E$6="Solstheim",60000*Q108*(1-L$7)*(1-N108),30000*Q108*(1-L$7)*(1-N108))</f>
        <v>0</v>
      </c>
      <c r="P108" s="145">
        <f t="shared" si="16"/>
        <v>0</v>
      </c>
      <c r="Q108" s="146">
        <f t="shared" si="15"/>
        <v>0</v>
      </c>
    </row>
    <row r="109" spans="1:17" x14ac:dyDescent="0.25">
      <c r="A109" t="s">
        <v>88</v>
      </c>
      <c r="B109" s="116">
        <v>15</v>
      </c>
      <c r="C109" s="17"/>
      <c r="D109" s="17"/>
      <c r="E109" s="17">
        <f>TRUNC(80*Q109*(1-L7)*(1-N109))</f>
        <v>0</v>
      </c>
      <c r="F109" s="17"/>
      <c r="G109" s="17">
        <f>TRUNC(20*Q109*(1-L7)*(1-N109))</f>
        <v>0</v>
      </c>
      <c r="H109" s="17"/>
      <c r="I109" s="17"/>
      <c r="J109" s="17"/>
      <c r="K109" s="17">
        <f>TRUNC(70*Q109*(1-L7)*(1-N109))</f>
        <v>0</v>
      </c>
      <c r="L109" s="18"/>
      <c r="M109" s="127" t="s">
        <v>173</v>
      </c>
      <c r="N109" s="124">
        <v>0</v>
      </c>
      <c r="O109" s="150">
        <f t="shared" ref="O109:O110" si="18">30000*Q109*(1-L$7)*(1-N109)</f>
        <v>0</v>
      </c>
      <c r="P109" s="145">
        <f t="shared" si="16"/>
        <v>0</v>
      </c>
      <c r="Q109" s="146">
        <f t="shared" si="15"/>
        <v>0</v>
      </c>
    </row>
    <row r="110" spans="1:17" ht="15.75" thickBot="1" x14ac:dyDescent="0.3">
      <c r="A110" s="39" t="s">
        <v>87</v>
      </c>
      <c r="B110" s="116">
        <v>15</v>
      </c>
      <c r="C110" s="19"/>
      <c r="D110" s="17">
        <f>TRUNC(90*Q110*(1-L7)*(1-N110))</f>
        <v>0</v>
      </c>
      <c r="E110" s="17"/>
      <c r="F110" s="17"/>
      <c r="G110" s="17">
        <f>TRUNC(30*Q110*(1-L7)*(1-N110))</f>
        <v>0</v>
      </c>
      <c r="H110" s="17"/>
      <c r="I110" s="17"/>
      <c r="J110" s="17"/>
      <c r="K110" s="17">
        <f>TRUNC(50*Q110*(1-L7)*(1-N110))</f>
        <v>0</v>
      </c>
      <c r="L110" s="18"/>
      <c r="M110" s="127" t="s">
        <v>173</v>
      </c>
      <c r="N110" s="124">
        <v>0</v>
      </c>
      <c r="O110" s="150">
        <f t="shared" si="18"/>
        <v>0</v>
      </c>
      <c r="P110" s="145">
        <f t="shared" si="16"/>
        <v>0</v>
      </c>
      <c r="Q110" s="146">
        <f t="shared" si="15"/>
        <v>0</v>
      </c>
    </row>
    <row r="111" spans="1:17" ht="15.75" thickBot="1" x14ac:dyDescent="0.3">
      <c r="A111" s="3" t="s">
        <v>140</v>
      </c>
      <c r="B111" s="119">
        <v>15</v>
      </c>
      <c r="C111" s="113"/>
      <c r="D111" s="89"/>
      <c r="E111" s="89">
        <f>TRUNC(70*Q111*(1-L7)*(1-N111))</f>
        <v>70</v>
      </c>
      <c r="F111" s="89"/>
      <c r="G111" s="89">
        <f>TRUNC(40*Q111*(1-L7)*(1-N111))</f>
        <v>40</v>
      </c>
      <c r="H111" s="89"/>
      <c r="I111" s="89"/>
      <c r="J111" s="89"/>
      <c r="K111" s="89">
        <f>TRUNC(100*Q111*(1-L7)*(1-N111))</f>
        <v>100</v>
      </c>
      <c r="L111" s="90"/>
      <c r="M111" s="127" t="s">
        <v>174</v>
      </c>
      <c r="N111" s="124">
        <v>0</v>
      </c>
      <c r="O111" s="150">
        <f>IF(E$6="Orsinium",60000*Q111*(1-L$7)*(1-N111),30000*Q111*(1-L$7)*(1-N111))</f>
        <v>60000</v>
      </c>
      <c r="P111" s="145">
        <f t="shared" si="16"/>
        <v>15</v>
      </c>
      <c r="Q111" s="146">
        <f t="shared" si="15"/>
        <v>1</v>
      </c>
    </row>
    <row r="112" spans="1:17" ht="15.75" thickBot="1" x14ac:dyDescent="0.3">
      <c r="A112" s="3" t="s">
        <v>215</v>
      </c>
      <c r="B112" s="117" t="s">
        <v>166</v>
      </c>
      <c r="C112" s="91" t="s">
        <v>8</v>
      </c>
      <c r="D112" s="92" t="s">
        <v>9</v>
      </c>
      <c r="E112" s="92" t="s">
        <v>10</v>
      </c>
      <c r="F112" s="92" t="s">
        <v>137</v>
      </c>
      <c r="G112" s="92" t="s">
        <v>11</v>
      </c>
      <c r="H112" s="92" t="s">
        <v>138</v>
      </c>
      <c r="I112" s="92" t="s">
        <v>139</v>
      </c>
      <c r="J112" s="92" t="s">
        <v>12</v>
      </c>
      <c r="K112" s="92" t="s">
        <v>13</v>
      </c>
      <c r="L112" s="93" t="s">
        <v>105</v>
      </c>
      <c r="M112" s="93"/>
      <c r="N112" s="93"/>
      <c r="O112" s="151"/>
      <c r="P112" s="147"/>
      <c r="Q112" s="148"/>
    </row>
    <row r="113" spans="1:17" x14ac:dyDescent="0.25">
      <c r="A113" t="s">
        <v>142</v>
      </c>
      <c r="B113" s="115">
        <v>0</v>
      </c>
      <c r="C113" s="15"/>
      <c r="D113" s="15"/>
      <c r="E113" s="15">
        <f>TRUNC(10*Q113*(1-N113))</f>
        <v>0</v>
      </c>
      <c r="F113" s="15"/>
      <c r="G113" s="15"/>
      <c r="H113" s="15">
        <f>TRUNC(10*Q113*(1-N113))</f>
        <v>0</v>
      </c>
      <c r="I113" s="15"/>
      <c r="J113" s="15">
        <f>TRUNC(10*Q113*(1-N113))</f>
        <v>0</v>
      </c>
      <c r="K113" s="15"/>
      <c r="L113" s="16"/>
      <c r="M113" s="127" t="s">
        <v>173</v>
      </c>
      <c r="N113" s="124">
        <v>0</v>
      </c>
      <c r="O113" s="149">
        <f>IF(E$6="Strik",40000*Q113*(1-L$7)*(1-N113),0)</f>
        <v>0</v>
      </c>
      <c r="P113" s="145">
        <f t="shared" si="16"/>
        <v>0</v>
      </c>
      <c r="Q113" s="146">
        <f>IF(E$6=A113,IF(M113="Possédée",1,IF(M113="Assiégée",0.5,0)),0)</f>
        <v>0</v>
      </c>
    </row>
    <row r="114" spans="1:17" x14ac:dyDescent="0.25">
      <c r="A114" t="s">
        <v>143</v>
      </c>
      <c r="B114" s="116">
        <v>0</v>
      </c>
      <c r="C114" s="17"/>
      <c r="D114" s="17"/>
      <c r="E114" s="17">
        <f>TRUNC(10*Q114*(1-N114))</f>
        <v>0</v>
      </c>
      <c r="F114" s="17"/>
      <c r="G114" s="17"/>
      <c r="H114" s="17">
        <f>TRUNC(10*Q114*(1-N114))</f>
        <v>0</v>
      </c>
      <c r="I114" s="17"/>
      <c r="J114" s="17">
        <f>TRUNC(10*Q114*(1-N114))</f>
        <v>0</v>
      </c>
      <c r="K114" s="17"/>
      <c r="L114" s="18"/>
      <c r="M114" s="127" t="s">
        <v>173</v>
      </c>
      <c r="N114" s="124">
        <v>0</v>
      </c>
      <c r="O114" s="150">
        <f>IF(E$6="Stros M'Kai",40000*Q114*(1-L$7)*(1-N114),0)</f>
        <v>0</v>
      </c>
      <c r="P114" s="145">
        <f t="shared" si="16"/>
        <v>0</v>
      </c>
      <c r="Q114" s="146">
        <f t="shared" ref="Q114:Q118" si="19">IF(E$6=A114,IF(M114="Possédée",1,IF(M114="Assiégée",0.5,0)),0)</f>
        <v>0</v>
      </c>
    </row>
    <row r="115" spans="1:17" x14ac:dyDescent="0.25">
      <c r="A115" t="s">
        <v>144</v>
      </c>
      <c r="B115" s="116">
        <v>0</v>
      </c>
      <c r="C115" s="17"/>
      <c r="D115" s="17"/>
      <c r="E115" s="17">
        <f t="shared" ref="E115:E118" si="20">TRUNC(10*Q115*(1-N115))</f>
        <v>0</v>
      </c>
      <c r="F115" s="17"/>
      <c r="G115" s="17"/>
      <c r="H115" s="17">
        <f t="shared" ref="H115:H118" si="21">TRUNC(10*Q115*(1-N115))</f>
        <v>0</v>
      </c>
      <c r="I115" s="17"/>
      <c r="J115" s="17">
        <f t="shared" ref="J115:J118" si="22">TRUNC(10*Q115*(1-N115))</f>
        <v>0</v>
      </c>
      <c r="K115" s="17"/>
      <c r="L115" s="18"/>
      <c r="M115" s="127" t="s">
        <v>173</v>
      </c>
      <c r="N115" s="124">
        <v>0</v>
      </c>
      <c r="O115" s="150">
        <f>IF(E$6="Vivec",40000*Q115*(1-L$7)*(1-N115),0)</f>
        <v>0</v>
      </c>
      <c r="P115" s="145">
        <f t="shared" si="16"/>
        <v>0</v>
      </c>
      <c r="Q115" s="146">
        <f t="shared" si="19"/>
        <v>0</v>
      </c>
    </row>
    <row r="116" spans="1:17" x14ac:dyDescent="0.25">
      <c r="A116" t="s">
        <v>145</v>
      </c>
      <c r="B116" s="116">
        <v>0</v>
      </c>
      <c r="C116" s="17"/>
      <c r="D116" s="17"/>
      <c r="E116" s="17">
        <f t="shared" si="20"/>
        <v>0</v>
      </c>
      <c r="F116" s="17"/>
      <c r="G116" s="17"/>
      <c r="H116" s="17">
        <f t="shared" si="21"/>
        <v>0</v>
      </c>
      <c r="I116" s="17"/>
      <c r="J116" s="17">
        <f t="shared" si="22"/>
        <v>0</v>
      </c>
      <c r="K116" s="17"/>
      <c r="L116" s="18"/>
      <c r="M116" s="127" t="s">
        <v>173</v>
      </c>
      <c r="N116" s="124">
        <v>0</v>
      </c>
      <c r="O116" s="150">
        <f>IF(E$6="Sadrith Mora",40000*Q116*(1-L$7)*(1-N116),0)</f>
        <v>0</v>
      </c>
      <c r="P116" s="145">
        <f t="shared" si="16"/>
        <v>0</v>
      </c>
      <c r="Q116" s="146">
        <f t="shared" si="19"/>
        <v>0</v>
      </c>
    </row>
    <row r="117" spans="1:17" x14ac:dyDescent="0.25">
      <c r="A117" t="s">
        <v>146</v>
      </c>
      <c r="B117" s="116">
        <v>0</v>
      </c>
      <c r="C117" s="17"/>
      <c r="D117" s="17"/>
      <c r="E117" s="17">
        <f t="shared" si="20"/>
        <v>0</v>
      </c>
      <c r="F117" s="17"/>
      <c r="G117" s="17"/>
      <c r="H117" s="17">
        <f t="shared" si="21"/>
        <v>0</v>
      </c>
      <c r="I117" s="17"/>
      <c r="J117" s="17">
        <f t="shared" si="22"/>
        <v>0</v>
      </c>
      <c r="K117" s="17"/>
      <c r="L117" s="18"/>
      <c r="M117" s="127" t="s">
        <v>173</v>
      </c>
      <c r="N117" s="124">
        <v>0</v>
      </c>
      <c r="O117" s="150">
        <f>IF(E$6="Dagon Fel",40000*Q117*(1-L$7)*(1-N117),0)</f>
        <v>0</v>
      </c>
      <c r="P117" s="145">
        <f t="shared" si="16"/>
        <v>0</v>
      </c>
      <c r="Q117" s="146">
        <f t="shared" si="19"/>
        <v>0</v>
      </c>
    </row>
    <row r="118" spans="1:17" ht="15.75" thickBot="1" x14ac:dyDescent="0.3">
      <c r="A118" s="40" t="s">
        <v>147</v>
      </c>
      <c r="B118" s="118">
        <v>0</v>
      </c>
      <c r="C118" s="21"/>
      <c r="D118" s="21"/>
      <c r="E118" s="17">
        <f t="shared" si="20"/>
        <v>0</v>
      </c>
      <c r="F118" s="21"/>
      <c r="G118" s="21"/>
      <c r="H118" s="17">
        <f t="shared" si="21"/>
        <v>0</v>
      </c>
      <c r="I118" s="21"/>
      <c r="J118" s="17">
        <f t="shared" si="22"/>
        <v>0</v>
      </c>
      <c r="K118" s="21"/>
      <c r="L118" s="22"/>
      <c r="M118" s="128" t="s">
        <v>173</v>
      </c>
      <c r="N118" s="125">
        <v>0</v>
      </c>
      <c r="O118" s="150">
        <f>IF(E$6="Port Telvannis",40000*Q118*(1-L$7)*(1-N118),0)</f>
        <v>0</v>
      </c>
      <c r="P118" s="145">
        <f t="shared" si="16"/>
        <v>0</v>
      </c>
      <c r="Q118" s="146">
        <f t="shared" si="19"/>
        <v>0</v>
      </c>
    </row>
    <row r="119" spans="1:17" ht="15.75" thickBot="1" x14ac:dyDescent="0.3">
      <c r="A119" s="132" t="s">
        <v>202</v>
      </c>
      <c r="B119" s="119">
        <f>SUM(P27:P118)</f>
        <v>15</v>
      </c>
      <c r="C119" s="89">
        <f>SUM(C27:C118)</f>
        <v>0</v>
      </c>
      <c r="D119" s="89">
        <f>SUM(D27:D118)</f>
        <v>0</v>
      </c>
      <c r="E119" s="89">
        <f>SUM(E27:E118)</f>
        <v>70</v>
      </c>
      <c r="F119" s="89">
        <f t="shared" ref="F119:L119" si="23">SUM(F27:F118)</f>
        <v>0</v>
      </c>
      <c r="G119" s="89">
        <f t="shared" si="23"/>
        <v>40</v>
      </c>
      <c r="H119" s="89">
        <f t="shared" si="23"/>
        <v>0</v>
      </c>
      <c r="I119" s="89">
        <f t="shared" si="23"/>
        <v>0</v>
      </c>
      <c r="J119" s="89">
        <f t="shared" si="23"/>
        <v>0</v>
      </c>
      <c r="K119" s="89">
        <f t="shared" si="23"/>
        <v>100</v>
      </c>
      <c r="L119" s="89">
        <f t="shared" si="23"/>
        <v>0</v>
      </c>
      <c r="M119" s="133"/>
      <c r="N119" s="134"/>
      <c r="O119" s="151">
        <f>SUM(O27:O118)</f>
        <v>60000</v>
      </c>
      <c r="P119" s="147"/>
      <c r="Q119" s="148"/>
    </row>
    <row r="120" spans="1:17" x14ac:dyDescent="0.25">
      <c r="A120" s="131" t="s">
        <v>216</v>
      </c>
    </row>
    <row r="122" spans="1:17" x14ac:dyDescent="0.25">
      <c r="A122" t="s">
        <v>160</v>
      </c>
    </row>
    <row r="123" spans="1:17" x14ac:dyDescent="0.25">
      <c r="A123" t="s">
        <v>22</v>
      </c>
      <c r="D123" t="s">
        <v>199</v>
      </c>
    </row>
    <row r="124" spans="1:17" x14ac:dyDescent="0.25">
      <c r="A124" t="s">
        <v>23</v>
      </c>
      <c r="B124" s="122">
        <v>0</v>
      </c>
      <c r="C124" t="s">
        <v>178</v>
      </c>
      <c r="D124" t="s">
        <v>200</v>
      </c>
      <c r="E124">
        <f>COUNTIF(M27:M111,"Possédée")+COUNTIF(M27:M111,"Assiégée")</f>
        <v>1</v>
      </c>
    </row>
    <row r="125" spans="1:17" x14ac:dyDescent="0.25">
      <c r="A125" t="s">
        <v>24</v>
      </c>
      <c r="B125" s="122">
        <v>0.05</v>
      </c>
      <c r="C125" t="s">
        <v>179</v>
      </c>
      <c r="D125" t="s">
        <v>217</v>
      </c>
      <c r="E125">
        <f>COUNTIF(M113:M118,"Possédée")+COUNTIF(M113:M118,"Assiégée")</f>
        <v>0</v>
      </c>
    </row>
    <row r="126" spans="1:17" x14ac:dyDescent="0.25">
      <c r="A126" t="s">
        <v>33</v>
      </c>
      <c r="B126" s="122">
        <v>0.1</v>
      </c>
      <c r="C126" t="s">
        <v>180</v>
      </c>
      <c r="D126" s="97" t="s">
        <v>218</v>
      </c>
      <c r="E126">
        <f>COUNTIF(M27:M118,"Possédée")+COUNTIF(M27:M118,"Assiégée")</f>
        <v>1</v>
      </c>
    </row>
    <row r="127" spans="1:17" x14ac:dyDescent="0.25">
      <c r="A127" t="s">
        <v>41</v>
      </c>
      <c r="B127" s="122">
        <v>0.15</v>
      </c>
      <c r="C127" t="s">
        <v>181</v>
      </c>
      <c r="D127" t="s">
        <v>201</v>
      </c>
      <c r="E127">
        <f>COUNTIF(M27:M118,"Assiégée")</f>
        <v>0</v>
      </c>
    </row>
    <row r="128" spans="1:17" x14ac:dyDescent="0.25">
      <c r="A128" t="s">
        <v>49</v>
      </c>
      <c r="B128" s="122">
        <v>0.2</v>
      </c>
      <c r="C128" t="s">
        <v>182</v>
      </c>
    </row>
    <row r="129" spans="1:3" x14ac:dyDescent="0.25">
      <c r="A129" t="s">
        <v>59</v>
      </c>
      <c r="B129" s="122">
        <v>0.25</v>
      </c>
      <c r="C129" t="s">
        <v>183</v>
      </c>
    </row>
    <row r="130" spans="1:3" x14ac:dyDescent="0.25">
      <c r="A130" t="s">
        <v>68</v>
      </c>
      <c r="B130" s="122">
        <v>0.3</v>
      </c>
      <c r="C130" t="s">
        <v>184</v>
      </c>
    </row>
    <row r="131" spans="1:3" x14ac:dyDescent="0.25">
      <c r="A131" t="s">
        <v>77</v>
      </c>
      <c r="B131" s="122">
        <v>0.35</v>
      </c>
      <c r="C131" t="s">
        <v>185</v>
      </c>
    </row>
    <row r="132" spans="1:3" x14ac:dyDescent="0.25">
      <c r="A132" t="s">
        <v>86</v>
      </c>
      <c r="B132" s="122">
        <v>0.4</v>
      </c>
      <c r="C132" t="s">
        <v>186</v>
      </c>
    </row>
    <row r="133" spans="1:3" x14ac:dyDescent="0.25">
      <c r="A133" t="s">
        <v>140</v>
      </c>
      <c r="B133" s="122">
        <v>0.45</v>
      </c>
      <c r="C133" t="s">
        <v>187</v>
      </c>
    </row>
    <row r="134" spans="1:3" x14ac:dyDescent="0.25">
      <c r="A134" t="s">
        <v>142</v>
      </c>
      <c r="B134" s="122">
        <v>0.5</v>
      </c>
      <c r="C134" t="s">
        <v>188</v>
      </c>
    </row>
    <row r="135" spans="1:3" x14ac:dyDescent="0.25">
      <c r="A135" t="s">
        <v>143</v>
      </c>
      <c r="B135" s="122">
        <v>0.55000000000000004</v>
      </c>
      <c r="C135" t="s">
        <v>189</v>
      </c>
    </row>
    <row r="136" spans="1:3" x14ac:dyDescent="0.25">
      <c r="A136" t="s">
        <v>144</v>
      </c>
      <c r="B136" s="122">
        <v>0.6</v>
      </c>
      <c r="C136" t="s">
        <v>190</v>
      </c>
    </row>
    <row r="137" spans="1:3" x14ac:dyDescent="0.25">
      <c r="A137" t="s">
        <v>145</v>
      </c>
      <c r="B137" s="122">
        <v>0.65</v>
      </c>
      <c r="C137" t="s">
        <v>191</v>
      </c>
    </row>
    <row r="138" spans="1:3" x14ac:dyDescent="0.25">
      <c r="A138" t="s">
        <v>146</v>
      </c>
      <c r="B138" s="122">
        <v>0.7</v>
      </c>
      <c r="C138" t="s">
        <v>192</v>
      </c>
    </row>
    <row r="139" spans="1:3" x14ac:dyDescent="0.25">
      <c r="A139" t="s">
        <v>147</v>
      </c>
      <c r="B139" s="122">
        <v>0.75</v>
      </c>
      <c r="C139" t="s">
        <v>193</v>
      </c>
    </row>
    <row r="140" spans="1:3" x14ac:dyDescent="0.25">
      <c r="A140" t="s">
        <v>219</v>
      </c>
      <c r="B140" s="122">
        <v>0.8</v>
      </c>
      <c r="C140" t="s">
        <v>194</v>
      </c>
    </row>
    <row r="141" spans="1:3" x14ac:dyDescent="0.25">
      <c r="B141" s="122">
        <v>0.85</v>
      </c>
      <c r="C141" t="s">
        <v>195</v>
      </c>
    </row>
    <row r="142" spans="1:3" x14ac:dyDescent="0.25">
      <c r="B142" s="122">
        <v>0.9</v>
      </c>
      <c r="C142" t="s">
        <v>196</v>
      </c>
    </row>
    <row r="143" spans="1:3" x14ac:dyDescent="0.25">
      <c r="B143" s="122">
        <v>0.95</v>
      </c>
      <c r="C143" t="s">
        <v>197</v>
      </c>
    </row>
    <row r="144" spans="1:3" x14ac:dyDescent="0.25">
      <c r="B144" s="122">
        <v>1</v>
      </c>
      <c r="C144" t="s">
        <v>198</v>
      </c>
    </row>
    <row r="145" spans="3:3" x14ac:dyDescent="0.25">
      <c r="C145" t="s">
        <v>209</v>
      </c>
    </row>
    <row r="146" spans="3:3" x14ac:dyDescent="0.25">
      <c r="C146" t="s">
        <v>210</v>
      </c>
    </row>
    <row r="147" spans="3:3" x14ac:dyDescent="0.25">
      <c r="C147" t="s">
        <v>211</v>
      </c>
    </row>
    <row r="148" spans="3:3" x14ac:dyDescent="0.25">
      <c r="C148" t="s">
        <v>212</v>
      </c>
    </row>
  </sheetData>
  <mergeCells count="6">
    <mergeCell ref="P25:Q25"/>
    <mergeCell ref="E6:G6"/>
    <mergeCell ref="H6:K6"/>
    <mergeCell ref="C7:D7"/>
    <mergeCell ref="H7:K7"/>
    <mergeCell ref="C25:L25"/>
  </mergeCells>
  <conditionalFormatting sqref="C21:L21">
    <cfRule type="cellIs" dxfId="15" priority="5" operator="greaterThanOrEqual">
      <formula>0</formula>
    </cfRule>
    <cfRule type="cellIs" dxfId="14" priority="6" operator="lessThan">
      <formula>0</formula>
    </cfRule>
  </conditionalFormatting>
  <conditionalFormatting sqref="C13:L13">
    <cfRule type="containsText" dxfId="13" priority="7" operator="containsText" text="Oui">
      <formula>NOT(ISERROR(SEARCH("Oui",C13)))</formula>
    </cfRule>
    <cfRule type="containsText" dxfId="12" priority="8" operator="containsText" text="Non">
      <formula>NOT(ISERROR(SEARCH("Non",C13)))</formula>
    </cfRule>
  </conditionalFormatting>
  <conditionalFormatting sqref="M27:M34 M36:M43 M45:M53 M55:M61 M63:M70 M72:M79 M81:M88 M90:M97 M99:M106 M108:M111 M113:M119">
    <cfRule type="containsText" dxfId="11" priority="2" operator="containsText" text="Non Possédée">
      <formula>NOT(ISERROR(SEARCH("Non Possédée",M27)))</formula>
    </cfRule>
    <cfRule type="containsText" dxfId="10" priority="3" operator="containsText" text="Assiégée">
      <formula>NOT(ISERROR(SEARCH("Assiégée",M27)))</formula>
    </cfRule>
    <cfRule type="containsText" dxfId="9" priority="4" operator="containsText" text="Possédée">
      <formula>NOT(ISERROR(SEARCH("Possédée",M27)))</formula>
    </cfRule>
  </conditionalFormatting>
  <conditionalFormatting sqref="N27:N34 N36:N43 N45:N53 N63:N70 N72:N79 N81:N88 N90:N97 N99:N106 N108:N111 N113:N119 N55:N61">
    <cfRule type="cellIs" dxfId="8" priority="1" operator="greaterThan">
      <formula>0</formula>
    </cfRule>
  </conditionalFormatting>
  <dataValidations count="4">
    <dataValidation type="list" allowBlank="1" showInputMessage="1" showErrorMessage="1" sqref="E6">
      <formula1>Provinces</formula1>
    </dataValidation>
    <dataValidation type="list" allowBlank="1" showInputMessage="1" showErrorMessage="1" sqref="M99:M106 M27:M34 M36:M43 M45:M53 M55:M61 M63:M70 M72:M79 M81:M88 M90:M97 M108:M111 M113:M119">
      <formula1>"Possédée,Assiégée,Non Possédée"</formula1>
    </dataValidation>
    <dataValidation type="list" allowBlank="1" showInputMessage="1" showErrorMessage="1" sqref="N108:N111 N27:N34 N36:N43 N113:N119 N45:N53 N63:N70 N72:N79 N81:N88 N90:N97 N99:N106 N55:N61">
      <formula1>Malus</formula1>
    </dataValidation>
    <dataValidation type="list" errorStyle="information" allowBlank="1" showInputMessage="1" showErrorMessage="1" sqref="D8 E7">
      <formula1>Année</formula1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8"/>
  <sheetViews>
    <sheetView tabSelected="1" workbookViewId="0">
      <selection activeCell="O1" sqref="O1"/>
    </sheetView>
  </sheetViews>
  <sheetFormatPr baseColWidth="10" defaultRowHeight="15" x14ac:dyDescent="0.25"/>
  <cols>
    <col min="1" max="1" width="21" customWidth="1"/>
    <col min="2" max="2" width="6.28515625" customWidth="1"/>
    <col min="13" max="13" width="13.85546875" customWidth="1"/>
    <col min="14" max="14" width="9.85546875" customWidth="1"/>
    <col min="15" max="15" width="10.140625" customWidth="1"/>
    <col min="16" max="16" width="12" customWidth="1"/>
    <col min="17" max="17" width="17.28515625" customWidth="1"/>
  </cols>
  <sheetData>
    <row r="1" spans="1:17" ht="21" x14ac:dyDescent="0.35">
      <c r="A1" s="2" t="s">
        <v>170</v>
      </c>
      <c r="B1" s="1"/>
    </row>
    <row r="3" spans="1:17" x14ac:dyDescent="0.25">
      <c r="A3" t="s">
        <v>141</v>
      </c>
    </row>
    <row r="4" spans="1:17" x14ac:dyDescent="0.25">
      <c r="A4" t="s">
        <v>220</v>
      </c>
    </row>
    <row r="6" spans="1:17" x14ac:dyDescent="0.25">
      <c r="A6" s="94" t="s">
        <v>148</v>
      </c>
      <c r="B6" s="95"/>
      <c r="C6" s="59" t="s">
        <v>149</v>
      </c>
      <c r="E6" s="156" t="s">
        <v>146</v>
      </c>
      <c r="F6" s="157"/>
      <c r="G6" s="158"/>
      <c r="H6" s="164" t="s">
        <v>207</v>
      </c>
      <c r="I6" s="165"/>
      <c r="J6" s="165"/>
      <c r="K6" s="163"/>
      <c r="L6" s="139">
        <v>8</v>
      </c>
      <c r="O6" s="137" t="s">
        <v>206</v>
      </c>
      <c r="Q6" s="97"/>
    </row>
    <row r="7" spans="1:17" x14ac:dyDescent="0.25">
      <c r="A7" s="98" t="s">
        <v>150</v>
      </c>
      <c r="B7" s="96"/>
      <c r="C7" s="166" t="s">
        <v>151</v>
      </c>
      <c r="D7" s="167"/>
      <c r="E7" s="138" t="s">
        <v>178</v>
      </c>
      <c r="F7" s="97"/>
      <c r="H7" s="162" t="s">
        <v>152</v>
      </c>
      <c r="I7" s="162"/>
      <c r="J7" s="162"/>
      <c r="K7" s="163"/>
      <c r="L7" s="140">
        <f>1-(COUNTIF(C13:L13,"Oui" )/10)</f>
        <v>0</v>
      </c>
      <c r="O7" s="153" t="s">
        <v>221</v>
      </c>
      <c r="P7" s="97"/>
      <c r="Q7" s="97"/>
    </row>
    <row r="8" spans="1:17" ht="15.75" thickBot="1" x14ac:dyDescent="0.3">
      <c r="A8" s="98"/>
      <c r="B8" s="96"/>
      <c r="H8" t="s">
        <v>208</v>
      </c>
      <c r="L8" s="152">
        <f>O119</f>
        <v>40000</v>
      </c>
      <c r="P8" s="97"/>
      <c r="Q8" s="97"/>
    </row>
    <row r="9" spans="1:17" ht="15.75" thickBot="1" x14ac:dyDescent="0.3">
      <c r="A9" s="97"/>
      <c r="B9" s="97"/>
      <c r="C9" s="100" t="s">
        <v>8</v>
      </c>
      <c r="D9" s="101" t="s">
        <v>9</v>
      </c>
      <c r="E9" s="101" t="s">
        <v>10</v>
      </c>
      <c r="F9" s="101" t="s">
        <v>137</v>
      </c>
      <c r="G9" s="101" t="s">
        <v>11</v>
      </c>
      <c r="H9" s="101" t="s">
        <v>138</v>
      </c>
      <c r="I9" s="101" t="s">
        <v>139</v>
      </c>
      <c r="J9" s="101" t="s">
        <v>12</v>
      </c>
      <c r="K9" s="101" t="s">
        <v>13</v>
      </c>
      <c r="L9" s="102" t="s">
        <v>105</v>
      </c>
    </row>
    <row r="10" spans="1:17" x14ac:dyDescent="0.25">
      <c r="A10" s="103" t="s">
        <v>153</v>
      </c>
      <c r="B10" s="97"/>
      <c r="C10" s="136">
        <v>120</v>
      </c>
      <c r="D10" s="104">
        <v>120</v>
      </c>
      <c r="E10" s="104">
        <v>120</v>
      </c>
      <c r="F10" s="104">
        <v>120</v>
      </c>
      <c r="G10" s="104">
        <v>120</v>
      </c>
      <c r="H10" s="104">
        <v>120</v>
      </c>
      <c r="I10" s="104">
        <v>120</v>
      </c>
      <c r="J10" s="104">
        <v>120</v>
      </c>
      <c r="K10" s="104">
        <v>120</v>
      </c>
      <c r="L10" s="135">
        <v>120</v>
      </c>
    </row>
    <row r="11" spans="1:17" x14ac:dyDescent="0.25">
      <c r="A11" s="103" t="s">
        <v>154</v>
      </c>
      <c r="B11" s="97"/>
      <c r="C11" s="105">
        <f>15*L6</f>
        <v>120</v>
      </c>
      <c r="D11" s="105">
        <f>15*L6</f>
        <v>120</v>
      </c>
      <c r="E11" s="105">
        <f>15*L6</f>
        <v>120</v>
      </c>
      <c r="F11" s="105">
        <f>15*L6</f>
        <v>120</v>
      </c>
      <c r="G11" s="105">
        <f>15*L6</f>
        <v>120</v>
      </c>
      <c r="H11" s="105">
        <f>15*L6</f>
        <v>120</v>
      </c>
      <c r="I11" s="105">
        <f>15*L6</f>
        <v>120</v>
      </c>
      <c r="J11" s="105">
        <f>15*L6</f>
        <v>120</v>
      </c>
      <c r="K11" s="105">
        <f>15*L6</f>
        <v>120</v>
      </c>
      <c r="L11" s="105">
        <f>15*L6</f>
        <v>120</v>
      </c>
    </row>
    <row r="12" spans="1:17" x14ac:dyDescent="0.25">
      <c r="A12" s="103" t="s">
        <v>155</v>
      </c>
      <c r="B12" s="97"/>
      <c r="C12" s="106">
        <f>C119</f>
        <v>0</v>
      </c>
      <c r="D12" s="106">
        <f>D119</f>
        <v>0</v>
      </c>
      <c r="E12" s="106">
        <f t="shared" ref="E12:L12" si="0">E119</f>
        <v>10</v>
      </c>
      <c r="F12" s="106">
        <f t="shared" si="0"/>
        <v>0</v>
      </c>
      <c r="G12" s="106">
        <f t="shared" si="0"/>
        <v>0</v>
      </c>
      <c r="H12" s="106">
        <f t="shared" si="0"/>
        <v>10</v>
      </c>
      <c r="I12" s="106">
        <f t="shared" si="0"/>
        <v>0</v>
      </c>
      <c r="J12" s="106">
        <f t="shared" si="0"/>
        <v>10</v>
      </c>
      <c r="K12" s="106">
        <f t="shared" si="0"/>
        <v>0</v>
      </c>
      <c r="L12" s="106">
        <f t="shared" si="0"/>
        <v>0</v>
      </c>
    </row>
    <row r="13" spans="1:17" x14ac:dyDescent="0.25">
      <c r="A13" s="88" t="s">
        <v>156</v>
      </c>
      <c r="B13" s="97"/>
      <c r="C13" s="107" t="str">
        <f>IF((C10-C11) &gt;= 0,"Oui","Non")</f>
        <v>Oui</v>
      </c>
      <c r="D13" s="107" t="str">
        <f t="shared" ref="D13:L13" si="1">IF((D10-D11) &gt;= 0,"Oui","Non")</f>
        <v>Oui</v>
      </c>
      <c r="E13" s="107" t="str">
        <f t="shared" si="1"/>
        <v>Oui</v>
      </c>
      <c r="F13" s="107" t="str">
        <f t="shared" si="1"/>
        <v>Oui</v>
      </c>
      <c r="G13" s="107" t="str">
        <f t="shared" si="1"/>
        <v>Oui</v>
      </c>
      <c r="H13" s="107" t="str">
        <f t="shared" si="1"/>
        <v>Oui</v>
      </c>
      <c r="I13" s="107" t="str">
        <f t="shared" si="1"/>
        <v>Oui</v>
      </c>
      <c r="J13" s="107" t="str">
        <f t="shared" si="1"/>
        <v>Oui</v>
      </c>
      <c r="K13" s="107" t="str">
        <f t="shared" si="1"/>
        <v>Oui</v>
      </c>
      <c r="L13" s="107" t="str">
        <f t="shared" si="1"/>
        <v>Oui</v>
      </c>
    </row>
    <row r="14" spans="1:17" x14ac:dyDescent="0.25">
      <c r="A14" s="103" t="s">
        <v>157</v>
      </c>
      <c r="B14" s="97"/>
      <c r="C14" s="108">
        <f>IF(C13="OUI",C10-C11+C12,C10+C12)</f>
        <v>0</v>
      </c>
      <c r="D14" s="108">
        <f>IF(D13="OUI",D10-D11+D12,D10+D12)</f>
        <v>0</v>
      </c>
      <c r="E14" s="108">
        <f t="shared" ref="E14:L14" si="2">IF(E13="OUI",E10-E11+E12,E10+E12)</f>
        <v>10</v>
      </c>
      <c r="F14" s="108">
        <f t="shared" si="2"/>
        <v>0</v>
      </c>
      <c r="G14" s="108">
        <f t="shared" si="2"/>
        <v>0</v>
      </c>
      <c r="H14" s="108">
        <f t="shared" si="2"/>
        <v>10</v>
      </c>
      <c r="I14" s="108">
        <f t="shared" si="2"/>
        <v>0</v>
      </c>
      <c r="J14" s="108">
        <f t="shared" si="2"/>
        <v>10</v>
      </c>
      <c r="K14" s="108">
        <f t="shared" si="2"/>
        <v>0</v>
      </c>
      <c r="L14" s="108">
        <f t="shared" si="2"/>
        <v>0</v>
      </c>
    </row>
    <row r="15" spans="1:17" x14ac:dyDescent="0.25">
      <c r="A15" s="103" t="s">
        <v>162</v>
      </c>
      <c r="B15" s="97"/>
      <c r="C15" s="142"/>
      <c r="D15" s="142"/>
      <c r="E15" s="142"/>
      <c r="F15" s="142"/>
      <c r="G15" s="142"/>
      <c r="H15" s="142"/>
      <c r="I15" s="142"/>
      <c r="J15" s="142"/>
      <c r="K15" s="142"/>
      <c r="L15" s="142"/>
    </row>
    <row r="16" spans="1:17" x14ac:dyDescent="0.25">
      <c r="A16" s="103" t="s">
        <v>165</v>
      </c>
      <c r="B16" s="97"/>
      <c r="C16" s="142"/>
      <c r="D16" s="142"/>
      <c r="E16" s="142"/>
      <c r="F16" s="142"/>
      <c r="G16" s="142"/>
      <c r="H16" s="142"/>
      <c r="I16" s="142"/>
      <c r="J16" s="142"/>
      <c r="K16" s="142"/>
      <c r="L16" s="142"/>
    </row>
    <row r="17" spans="1:17" x14ac:dyDescent="0.25">
      <c r="A17" s="103" t="s">
        <v>163</v>
      </c>
      <c r="B17" s="97"/>
      <c r="C17" s="141"/>
      <c r="D17" s="141"/>
      <c r="E17" s="141"/>
      <c r="F17" s="141"/>
      <c r="G17" s="141"/>
      <c r="H17" s="141"/>
      <c r="I17" s="141"/>
      <c r="J17" s="141"/>
      <c r="K17" s="141"/>
      <c r="L17" s="141"/>
    </row>
    <row r="18" spans="1:17" x14ac:dyDescent="0.25">
      <c r="A18" s="103" t="s">
        <v>164</v>
      </c>
      <c r="B18" s="97"/>
      <c r="C18" s="141"/>
      <c r="D18" s="141"/>
      <c r="E18" s="141"/>
      <c r="F18" s="141"/>
      <c r="G18" s="141"/>
      <c r="H18" s="141"/>
      <c r="I18" s="141"/>
      <c r="J18" s="141"/>
      <c r="K18" s="141"/>
      <c r="L18" s="141"/>
    </row>
    <row r="19" spans="1:17" x14ac:dyDescent="0.25">
      <c r="A19" s="109" t="s">
        <v>158</v>
      </c>
      <c r="B19" s="97"/>
      <c r="C19" s="110">
        <f>C14+C15+C16-C17-C18</f>
        <v>0</v>
      </c>
      <c r="D19" s="110">
        <f>D14+D15+D16-D17-D18</f>
        <v>0</v>
      </c>
      <c r="E19" s="110">
        <f t="shared" ref="E19:K19" si="3">E14+E15+E16-E17-E18</f>
        <v>10</v>
      </c>
      <c r="F19" s="110">
        <f>F14+F15+F16-F17-F18</f>
        <v>0</v>
      </c>
      <c r="G19" s="110">
        <f t="shared" si="3"/>
        <v>0</v>
      </c>
      <c r="H19" s="110">
        <f t="shared" si="3"/>
        <v>10</v>
      </c>
      <c r="I19" s="110">
        <f t="shared" si="3"/>
        <v>0</v>
      </c>
      <c r="J19" s="110">
        <f t="shared" si="3"/>
        <v>10</v>
      </c>
      <c r="K19" s="110">
        <f t="shared" si="3"/>
        <v>0</v>
      </c>
      <c r="L19" s="110">
        <f>L14+L15+L16-L17-L18</f>
        <v>0</v>
      </c>
    </row>
    <row r="20" spans="1:17" x14ac:dyDescent="0.25">
      <c r="A20" s="103" t="s">
        <v>161</v>
      </c>
      <c r="B20" s="97"/>
      <c r="C20" s="111">
        <f>(COUNTIF(M27:M111,"Possédée")+COUNTIF(M27:M111,"Assiégée"))*15</f>
        <v>0</v>
      </c>
      <c r="D20" s="111">
        <f>(COUNTIF(M27:M111,"Possédée")+COUNTIF(M27:M111,"Assiégée"))*15</f>
        <v>0</v>
      </c>
      <c r="E20" s="111">
        <f>(COUNTIF(M27:M111,"Possédée")+COUNTIF(M27:M111,"Assiégée"))*15</f>
        <v>0</v>
      </c>
      <c r="F20" s="111">
        <f>(COUNTIF(M27:M111,"Possédée")+COUNTIF(M27:M111,"Assiégée"))*15</f>
        <v>0</v>
      </c>
      <c r="G20" s="111">
        <f>(COUNTIF(M27:M111,"Possédée")+COUNTIF(M27:M111,"Assiégée"))*15</f>
        <v>0</v>
      </c>
      <c r="H20" s="111">
        <f>(COUNTIF(M27:M111,"Possédée")+COUNTIF(M27:M111,"Assiégée"))*15</f>
        <v>0</v>
      </c>
      <c r="I20" s="111">
        <f>(COUNTIF(M27:M111,"Possédée")+COUNTIF(M27:M111,"Assiégée"))*15</f>
        <v>0</v>
      </c>
      <c r="J20" s="111">
        <f>(COUNTIF(M27:M111,"Possédée")+COUNTIF(M27:M111,"Assiégée"))*15</f>
        <v>0</v>
      </c>
      <c r="K20" s="111">
        <f>(COUNTIF(M27:M111,"Possédée")+COUNTIF(M27:M111,"Assiégée"))*15</f>
        <v>0</v>
      </c>
      <c r="L20" s="111">
        <f>(COUNTIF(M27:M111,"Possédée")+COUNTIF(M27:M111,"Assiégée"))*15</f>
        <v>0</v>
      </c>
    </row>
    <row r="21" spans="1:17" x14ac:dyDescent="0.25">
      <c r="A21" s="103" t="s">
        <v>159</v>
      </c>
      <c r="B21" s="97"/>
      <c r="C21" s="112">
        <f>C19-C20</f>
        <v>0</v>
      </c>
      <c r="D21" s="112">
        <f t="shared" ref="D21:L21" si="4">D19-D20</f>
        <v>0</v>
      </c>
      <c r="E21" s="112">
        <f>E19-E20</f>
        <v>10</v>
      </c>
      <c r="F21" s="112">
        <f>F19-F20</f>
        <v>0</v>
      </c>
      <c r="G21" s="112">
        <f t="shared" si="4"/>
        <v>0</v>
      </c>
      <c r="H21" s="112">
        <f t="shared" si="4"/>
        <v>10</v>
      </c>
      <c r="I21" s="112">
        <f t="shared" si="4"/>
        <v>0</v>
      </c>
      <c r="J21" s="112">
        <f t="shared" si="4"/>
        <v>10</v>
      </c>
      <c r="K21" s="112">
        <f t="shared" si="4"/>
        <v>0</v>
      </c>
      <c r="L21" s="112">
        <f t="shared" si="4"/>
        <v>0</v>
      </c>
    </row>
    <row r="22" spans="1:17" x14ac:dyDescent="0.25">
      <c r="A22" s="103"/>
      <c r="B22" s="97"/>
    </row>
    <row r="23" spans="1:17" x14ac:dyDescent="0.25">
      <c r="O23" s="99" t="s">
        <v>176</v>
      </c>
    </row>
    <row r="24" spans="1:17" ht="15.75" thickBot="1" x14ac:dyDescent="0.3">
      <c r="A24" s="114" t="s">
        <v>160</v>
      </c>
      <c r="H24" s="97"/>
      <c r="I24" s="97"/>
      <c r="J24" s="97"/>
    </row>
    <row r="25" spans="1:17" ht="15.75" thickBot="1" x14ac:dyDescent="0.3">
      <c r="A25" s="121" t="s">
        <v>168</v>
      </c>
      <c r="B25" s="75" t="s">
        <v>167</v>
      </c>
      <c r="C25" s="159" t="s">
        <v>169</v>
      </c>
      <c r="D25" s="160"/>
      <c r="E25" s="160"/>
      <c r="F25" s="160"/>
      <c r="G25" s="160"/>
      <c r="H25" s="160"/>
      <c r="I25" s="160"/>
      <c r="J25" s="160"/>
      <c r="K25" s="160"/>
      <c r="L25" s="161"/>
      <c r="M25" s="129" t="s">
        <v>171</v>
      </c>
      <c r="N25" s="115" t="s">
        <v>172</v>
      </c>
      <c r="O25" s="129" t="s">
        <v>213</v>
      </c>
      <c r="P25" s="154" t="s">
        <v>203</v>
      </c>
      <c r="Q25" s="155"/>
    </row>
    <row r="26" spans="1:17" ht="15.75" thickBot="1" x14ac:dyDescent="0.3">
      <c r="A26" s="3" t="s">
        <v>22</v>
      </c>
      <c r="B26" s="120" t="s">
        <v>166</v>
      </c>
      <c r="C26" s="91" t="s">
        <v>8</v>
      </c>
      <c r="D26" s="92" t="s">
        <v>9</v>
      </c>
      <c r="E26" s="92" t="s">
        <v>10</v>
      </c>
      <c r="F26" s="92" t="s">
        <v>137</v>
      </c>
      <c r="G26" s="92" t="s">
        <v>11</v>
      </c>
      <c r="H26" s="92" t="s">
        <v>138</v>
      </c>
      <c r="I26" s="92" t="s">
        <v>139</v>
      </c>
      <c r="J26" s="92" t="s">
        <v>12</v>
      </c>
      <c r="K26" s="92" t="s">
        <v>13</v>
      </c>
      <c r="L26" s="93" t="s">
        <v>105</v>
      </c>
      <c r="M26" s="130" t="s">
        <v>175</v>
      </c>
      <c r="N26" s="118" t="s">
        <v>177</v>
      </c>
      <c r="O26" s="130" t="s">
        <v>214</v>
      </c>
      <c r="P26" s="147" t="s">
        <v>204</v>
      </c>
      <c r="Q26" s="148" t="s">
        <v>205</v>
      </c>
    </row>
    <row r="27" spans="1:17" x14ac:dyDescent="0.25">
      <c r="A27" t="s">
        <v>0</v>
      </c>
      <c r="B27" s="115">
        <v>15</v>
      </c>
      <c r="C27" s="15"/>
      <c r="D27" s="15"/>
      <c r="E27" s="15"/>
      <c r="F27" s="15"/>
      <c r="G27" s="15"/>
      <c r="H27" s="15"/>
      <c r="I27" s="15">
        <f>TRUNC(90*Q27*(1-L7)*(1-N27))</f>
        <v>0</v>
      </c>
      <c r="J27" s="15"/>
      <c r="K27" s="15"/>
      <c r="L27" s="16">
        <f>TRUNC(120*Q27*(1-L7)*(1-N27))</f>
        <v>0</v>
      </c>
      <c r="M27" s="126" t="s">
        <v>173</v>
      </c>
      <c r="N27" s="123">
        <v>0</v>
      </c>
      <c r="O27" s="149">
        <f>IF(E$6="Archipel de l'Automne",60000*Q27*(1-L$7)*(1-N27),30000*Q27*(1-L$7)*(1-N27))</f>
        <v>0</v>
      </c>
      <c r="P27" s="143">
        <f>IF(OR(M27="Possédée",M27="Assiégée"),B27,0)</f>
        <v>0</v>
      </c>
      <c r="Q27" s="144">
        <f>IF(M27="Possédée",1,IF(M27="Assiégée",0.5,0))</f>
        <v>0</v>
      </c>
    </row>
    <row r="28" spans="1:17" x14ac:dyDescent="0.25">
      <c r="A28" t="s">
        <v>1</v>
      </c>
      <c r="B28" s="116">
        <v>15</v>
      </c>
      <c r="C28" s="17"/>
      <c r="D28" s="17"/>
      <c r="E28" s="17"/>
      <c r="F28" s="17"/>
      <c r="G28" s="17">
        <f>TRUNC(30*Q28*(1-L7)*(1-N28))</f>
        <v>0</v>
      </c>
      <c r="H28" s="17"/>
      <c r="I28" s="17"/>
      <c r="J28" s="17"/>
      <c r="K28" s="17"/>
      <c r="L28" s="18">
        <f>TRUNC(140*Q28*(1-L7)*(1-N28))</f>
        <v>0</v>
      </c>
      <c r="M28" s="127" t="s">
        <v>173</v>
      </c>
      <c r="N28" s="124">
        <v>0</v>
      </c>
      <c r="O28" s="150">
        <f>30000*Q28*(1-L$7)*(1-N28)</f>
        <v>0</v>
      </c>
      <c r="P28" s="145">
        <f>IF(OR(M28="Possédée",M28="Assiégée"),B28,0)</f>
        <v>0</v>
      </c>
      <c r="Q28" s="146">
        <f t="shared" ref="Q28:Q91" si="5">IF(M28="Possédée",1,IF(M28="Assiégée",0.5,0))</f>
        <v>0</v>
      </c>
    </row>
    <row r="29" spans="1:17" x14ac:dyDescent="0.25">
      <c r="A29" t="s">
        <v>2</v>
      </c>
      <c r="B29" s="116">
        <v>15</v>
      </c>
      <c r="C29" s="17">
        <f>TRUNC(60*Q29*(1-L7)*(1-N29))</f>
        <v>0</v>
      </c>
      <c r="D29" s="17"/>
      <c r="E29" s="17"/>
      <c r="F29" s="17"/>
      <c r="G29" s="17"/>
      <c r="H29" s="17"/>
      <c r="I29" s="17">
        <f>TRUNC(110*Q29*(1-L7)*(1-N29))</f>
        <v>0</v>
      </c>
      <c r="J29" s="17"/>
      <c r="K29" s="17"/>
      <c r="L29" s="18"/>
      <c r="M29" s="127" t="s">
        <v>173</v>
      </c>
      <c r="N29" s="124">
        <v>0</v>
      </c>
      <c r="O29" s="150">
        <f t="shared" ref="O29:O34" si="6">30000*Q29*(1-L$7)*(1-N29)</f>
        <v>0</v>
      </c>
      <c r="P29" s="145">
        <f t="shared" ref="P29:P92" si="7">IF(OR(M29="Possédée",M29="Assiégée"),B29,0)</f>
        <v>0</v>
      </c>
      <c r="Q29" s="146">
        <f t="shared" si="5"/>
        <v>0</v>
      </c>
    </row>
    <row r="30" spans="1:17" x14ac:dyDescent="0.25">
      <c r="A30" t="s">
        <v>3</v>
      </c>
      <c r="B30" s="116">
        <v>15</v>
      </c>
      <c r="C30" s="17">
        <f>TRUNC(40*Q30*(1-L7)*(1-N30))</f>
        <v>0</v>
      </c>
      <c r="D30" s="17"/>
      <c r="E30" s="17"/>
      <c r="F30" s="17"/>
      <c r="G30" s="17"/>
      <c r="H30" s="17"/>
      <c r="I30" s="17">
        <f>TRUNC(60*Q30*(1-L7)*(1-N30))</f>
        <v>0</v>
      </c>
      <c r="J30" s="17"/>
      <c r="K30" s="17">
        <f>TRUNC(70*Q30*(1-L7)*(1-N30))</f>
        <v>0</v>
      </c>
      <c r="L30" s="18"/>
      <c r="M30" s="127" t="s">
        <v>173</v>
      </c>
      <c r="N30" s="124">
        <v>0</v>
      </c>
      <c r="O30" s="150">
        <f t="shared" si="6"/>
        <v>0</v>
      </c>
      <c r="P30" s="145">
        <f t="shared" si="7"/>
        <v>0</v>
      </c>
      <c r="Q30" s="146">
        <f t="shared" si="5"/>
        <v>0</v>
      </c>
    </row>
    <row r="31" spans="1:17" x14ac:dyDescent="0.25">
      <c r="A31" t="s">
        <v>4</v>
      </c>
      <c r="B31" s="116">
        <v>15</v>
      </c>
      <c r="C31" s="17"/>
      <c r="D31" s="17"/>
      <c r="E31" s="17"/>
      <c r="F31" s="17"/>
      <c r="G31" s="17"/>
      <c r="H31" s="17"/>
      <c r="I31" s="17">
        <f>TRUNC(80*Q31*(1-L7)*(1-N31))</f>
        <v>0</v>
      </c>
      <c r="J31" s="17"/>
      <c r="K31" s="17"/>
      <c r="L31" s="18">
        <f>TRUNC(90*Q31*(1-L7)*(1-N31))</f>
        <v>0</v>
      </c>
      <c r="M31" s="127" t="s">
        <v>173</v>
      </c>
      <c r="N31" s="124">
        <v>0</v>
      </c>
      <c r="O31" s="150">
        <f t="shared" si="6"/>
        <v>0</v>
      </c>
      <c r="P31" s="145">
        <f t="shared" si="7"/>
        <v>0</v>
      </c>
      <c r="Q31" s="146">
        <f t="shared" si="5"/>
        <v>0</v>
      </c>
    </row>
    <row r="32" spans="1:17" x14ac:dyDescent="0.25">
      <c r="A32" t="s">
        <v>5</v>
      </c>
      <c r="B32" s="116">
        <v>15</v>
      </c>
      <c r="C32" s="17"/>
      <c r="D32" s="17"/>
      <c r="E32" s="17"/>
      <c r="F32" s="17"/>
      <c r="G32" s="17"/>
      <c r="H32" s="17"/>
      <c r="I32" s="17"/>
      <c r="J32" s="17"/>
      <c r="K32" s="17">
        <f>TRUNC(170*Q32*(1-L7)*(1-N32))</f>
        <v>0</v>
      </c>
      <c r="L32" s="18"/>
      <c r="M32" s="127" t="s">
        <v>173</v>
      </c>
      <c r="N32" s="124">
        <v>0</v>
      </c>
      <c r="O32" s="150">
        <f t="shared" si="6"/>
        <v>0</v>
      </c>
      <c r="P32" s="145">
        <f t="shared" si="7"/>
        <v>0</v>
      </c>
      <c r="Q32" s="146">
        <f t="shared" si="5"/>
        <v>0</v>
      </c>
    </row>
    <row r="33" spans="1:17" x14ac:dyDescent="0.25">
      <c r="A33" t="s">
        <v>6</v>
      </c>
      <c r="B33" s="116">
        <v>15</v>
      </c>
      <c r="C33" s="17">
        <f>TRUNC(40*Q33*(1-L7)*(1-N33))</f>
        <v>0</v>
      </c>
      <c r="D33" s="17"/>
      <c r="E33" s="17"/>
      <c r="F33" s="17">
        <f>TRUNC(130*Q33*(1-L7)*(1-N33))</f>
        <v>0</v>
      </c>
      <c r="G33" s="17"/>
      <c r="H33" s="17"/>
      <c r="I33" s="17"/>
      <c r="J33" s="17"/>
      <c r="K33" s="17"/>
      <c r="L33" s="18"/>
      <c r="M33" s="127" t="s">
        <v>173</v>
      </c>
      <c r="N33" s="124">
        <v>0</v>
      </c>
      <c r="O33" s="150">
        <f t="shared" si="6"/>
        <v>0</v>
      </c>
      <c r="P33" s="145">
        <f t="shared" si="7"/>
        <v>0</v>
      </c>
      <c r="Q33" s="146">
        <f t="shared" si="5"/>
        <v>0</v>
      </c>
    </row>
    <row r="34" spans="1:17" ht="15.75" thickBot="1" x14ac:dyDescent="0.3">
      <c r="A34" t="s">
        <v>7</v>
      </c>
      <c r="B34" s="116">
        <v>15</v>
      </c>
      <c r="C34" s="17"/>
      <c r="D34" s="17">
        <f>TRUNC(70*Q34*(1-L7)*(1-N34))</f>
        <v>0</v>
      </c>
      <c r="E34" s="17"/>
      <c r="F34" s="17"/>
      <c r="G34" s="17"/>
      <c r="H34" s="17"/>
      <c r="I34" s="17"/>
      <c r="J34" s="17"/>
      <c r="K34" s="17"/>
      <c r="L34" s="18">
        <f>TRUNC(100*Q34*(1-L7)*(1-N34))</f>
        <v>0</v>
      </c>
      <c r="M34" s="127" t="s">
        <v>173</v>
      </c>
      <c r="N34" s="124">
        <v>0</v>
      </c>
      <c r="O34" s="150">
        <f t="shared" si="6"/>
        <v>0</v>
      </c>
      <c r="P34" s="145">
        <f>IF(OR(M34="Possédée",M34="Assiégée"),B34,0)</f>
        <v>0</v>
      </c>
      <c r="Q34" s="146">
        <f t="shared" si="5"/>
        <v>0</v>
      </c>
    </row>
    <row r="35" spans="1:17" ht="15.75" thickBot="1" x14ac:dyDescent="0.3">
      <c r="A35" s="10" t="s">
        <v>23</v>
      </c>
      <c r="B35" s="117" t="s">
        <v>166</v>
      </c>
      <c r="C35" s="91" t="s">
        <v>8</v>
      </c>
      <c r="D35" s="92" t="s">
        <v>9</v>
      </c>
      <c r="E35" s="92" t="s">
        <v>10</v>
      </c>
      <c r="F35" s="92" t="s">
        <v>137</v>
      </c>
      <c r="G35" s="92" t="s">
        <v>11</v>
      </c>
      <c r="H35" s="92" t="s">
        <v>138</v>
      </c>
      <c r="I35" s="92" t="s">
        <v>139</v>
      </c>
      <c r="J35" s="92" t="s">
        <v>12</v>
      </c>
      <c r="K35" s="92" t="s">
        <v>13</v>
      </c>
      <c r="L35" s="93" t="s">
        <v>105</v>
      </c>
      <c r="M35" s="93"/>
      <c r="N35" s="93"/>
      <c r="O35" s="151"/>
      <c r="P35" s="147"/>
      <c r="Q35" s="148"/>
    </row>
    <row r="36" spans="1:17" x14ac:dyDescent="0.25">
      <c r="A36" t="s">
        <v>14</v>
      </c>
      <c r="B36" s="115">
        <v>15</v>
      </c>
      <c r="C36" s="19"/>
      <c r="D36" s="17"/>
      <c r="E36" s="17">
        <f>TRUNC(60*Q36*(1-L7)*(1-N36))</f>
        <v>0</v>
      </c>
      <c r="F36" s="17"/>
      <c r="G36" s="17">
        <f>TRUNC(150*Q36*(1-L7)*(1-N36))</f>
        <v>0</v>
      </c>
      <c r="H36" s="17"/>
      <c r="I36" s="17"/>
      <c r="J36" s="17"/>
      <c r="K36" s="17"/>
      <c r="L36" s="18"/>
      <c r="M36" s="127" t="s">
        <v>173</v>
      </c>
      <c r="N36" s="124">
        <v>0</v>
      </c>
      <c r="O36" s="149">
        <f>IF(E$6="Bordeciel",60000*Q36*(1-L$7)*(1-N36),30000*Q36*(1-L$7)*(1-N36))</f>
        <v>0</v>
      </c>
      <c r="P36" s="145">
        <f t="shared" si="7"/>
        <v>0</v>
      </c>
      <c r="Q36" s="146">
        <f t="shared" si="5"/>
        <v>0</v>
      </c>
    </row>
    <row r="37" spans="1:17" x14ac:dyDescent="0.25">
      <c r="A37" t="s">
        <v>15</v>
      </c>
      <c r="B37" s="116">
        <v>15</v>
      </c>
      <c r="C37" s="19"/>
      <c r="D37" s="17"/>
      <c r="E37" s="17"/>
      <c r="F37" s="17"/>
      <c r="G37" s="17"/>
      <c r="H37" s="17"/>
      <c r="I37" s="17"/>
      <c r="J37" s="17"/>
      <c r="K37" s="17">
        <f>TRUNC(170*Q37*(1-L7)*(1-N37))</f>
        <v>0</v>
      </c>
      <c r="L37" s="18"/>
      <c r="M37" s="127" t="s">
        <v>173</v>
      </c>
      <c r="N37" s="124">
        <v>0</v>
      </c>
      <c r="O37" s="150">
        <f>30000*Q37*(1-L$7)*(1-N37)</f>
        <v>0</v>
      </c>
      <c r="P37" s="145">
        <f t="shared" si="7"/>
        <v>0</v>
      </c>
      <c r="Q37" s="146">
        <f t="shared" si="5"/>
        <v>0</v>
      </c>
    </row>
    <row r="38" spans="1:17" x14ac:dyDescent="0.25">
      <c r="A38" t="s">
        <v>16</v>
      </c>
      <c r="B38" s="116">
        <v>15</v>
      </c>
      <c r="C38" s="19"/>
      <c r="D38" s="17">
        <f>TRUNC(130*Q38*(1-L7)*(1-N38))</f>
        <v>0</v>
      </c>
      <c r="E38" s="17"/>
      <c r="F38" s="17"/>
      <c r="G38" s="17">
        <f>TRUNC(40*Q38*(1-L7)*(1-N38))</f>
        <v>0</v>
      </c>
      <c r="H38" s="17"/>
      <c r="I38" s="17"/>
      <c r="J38" s="17"/>
      <c r="K38" s="17"/>
      <c r="L38" s="18"/>
      <c r="M38" s="127" t="s">
        <v>173</v>
      </c>
      <c r="N38" s="124">
        <v>0</v>
      </c>
      <c r="O38" s="150">
        <f t="shared" ref="O38:O43" si="8">30000*Q38*(1-L$7)*(1-N38)</f>
        <v>0</v>
      </c>
      <c r="P38" s="145">
        <f t="shared" si="7"/>
        <v>0</v>
      </c>
      <c r="Q38" s="146">
        <f t="shared" si="5"/>
        <v>0</v>
      </c>
    </row>
    <row r="39" spans="1:17" x14ac:dyDescent="0.25">
      <c r="A39" t="s">
        <v>17</v>
      </c>
      <c r="B39" s="116">
        <v>15</v>
      </c>
      <c r="C39" s="19">
        <f>TRUNC(70*Q39*(1-L7)*(1-N39))</f>
        <v>0</v>
      </c>
      <c r="D39" s="17">
        <f>TRUNC(60*Q39*(1-L7)*(1-N39))</f>
        <v>0</v>
      </c>
      <c r="E39" s="17">
        <f>TRUNC(40*Q39*(1-L7)*(1-N39))</f>
        <v>0</v>
      </c>
      <c r="F39" s="17"/>
      <c r="G39" s="17"/>
      <c r="H39" s="17"/>
      <c r="I39" s="17"/>
      <c r="J39" s="17"/>
      <c r="K39" s="17"/>
      <c r="L39" s="18"/>
      <c r="M39" s="127" t="s">
        <v>173</v>
      </c>
      <c r="N39" s="124">
        <v>0</v>
      </c>
      <c r="O39" s="150">
        <f t="shared" si="8"/>
        <v>0</v>
      </c>
      <c r="P39" s="145">
        <f t="shared" si="7"/>
        <v>0</v>
      </c>
      <c r="Q39" s="146">
        <f t="shared" si="5"/>
        <v>0</v>
      </c>
    </row>
    <row r="40" spans="1:17" x14ac:dyDescent="0.25">
      <c r="A40" t="s">
        <v>18</v>
      </c>
      <c r="B40" s="116">
        <v>15</v>
      </c>
      <c r="C40" s="19"/>
      <c r="D40" s="17">
        <f>TRUNC(20*Q40*(1-L7)*(1-N40))</f>
        <v>0</v>
      </c>
      <c r="E40" s="17"/>
      <c r="F40" s="17">
        <f>TRUNC(100*Q40*(1-L7)*(1-N40))</f>
        <v>0</v>
      </c>
      <c r="G40" s="17">
        <f>TRUNC(50*Q40*(1-L7)*(1-N40))</f>
        <v>0</v>
      </c>
      <c r="H40" s="17"/>
      <c r="I40" s="17"/>
      <c r="J40" s="17"/>
      <c r="K40" s="17"/>
      <c r="L40" s="18"/>
      <c r="M40" s="127" t="s">
        <v>173</v>
      </c>
      <c r="N40" s="124">
        <v>0</v>
      </c>
      <c r="O40" s="150">
        <f t="shared" si="8"/>
        <v>0</v>
      </c>
      <c r="P40" s="145">
        <f t="shared" si="7"/>
        <v>0</v>
      </c>
      <c r="Q40" s="146">
        <f t="shared" si="5"/>
        <v>0</v>
      </c>
    </row>
    <row r="41" spans="1:17" x14ac:dyDescent="0.25">
      <c r="A41" t="s">
        <v>19</v>
      </c>
      <c r="B41" s="116">
        <v>15</v>
      </c>
      <c r="C41" s="19"/>
      <c r="D41" s="17"/>
      <c r="E41" s="17"/>
      <c r="F41" s="17"/>
      <c r="G41" s="17">
        <f>TRUNC(170*Q41*(1-L7)*(1-N41))</f>
        <v>0</v>
      </c>
      <c r="H41" s="17"/>
      <c r="I41" s="17"/>
      <c r="J41" s="17"/>
      <c r="K41" s="17"/>
      <c r="L41" s="18"/>
      <c r="M41" s="127" t="s">
        <v>173</v>
      </c>
      <c r="N41" s="124">
        <v>0</v>
      </c>
      <c r="O41" s="150">
        <f t="shared" si="8"/>
        <v>0</v>
      </c>
      <c r="P41" s="145">
        <f t="shared" si="7"/>
        <v>0</v>
      </c>
      <c r="Q41" s="146">
        <f t="shared" si="5"/>
        <v>0</v>
      </c>
    </row>
    <row r="42" spans="1:17" x14ac:dyDescent="0.25">
      <c r="A42" t="s">
        <v>20</v>
      </c>
      <c r="B42" s="116">
        <v>15</v>
      </c>
      <c r="C42" s="19"/>
      <c r="D42" s="17"/>
      <c r="E42" s="17">
        <f>TRUNC(90*Q42*(1-L7)*(1-N42))</f>
        <v>0</v>
      </c>
      <c r="F42" s="17">
        <f>TRUNC(40*Q42*(1-L7)*(1-N42))</f>
        <v>0</v>
      </c>
      <c r="G42" s="17"/>
      <c r="H42" s="17"/>
      <c r="I42" s="17"/>
      <c r="J42" s="17"/>
      <c r="K42" s="17">
        <f>TRUNC(40*Q42*(1-L7)*(1-N42))</f>
        <v>0</v>
      </c>
      <c r="L42" s="18"/>
      <c r="M42" s="127" t="s">
        <v>173</v>
      </c>
      <c r="N42" s="124">
        <v>0</v>
      </c>
      <c r="O42" s="150">
        <f t="shared" si="8"/>
        <v>0</v>
      </c>
      <c r="P42" s="145">
        <f t="shared" si="7"/>
        <v>0</v>
      </c>
      <c r="Q42" s="146">
        <f t="shared" si="5"/>
        <v>0</v>
      </c>
    </row>
    <row r="43" spans="1:17" ht="15.75" thickBot="1" x14ac:dyDescent="0.3">
      <c r="A43" t="s">
        <v>21</v>
      </c>
      <c r="B43" s="116">
        <v>15</v>
      </c>
      <c r="C43" s="19"/>
      <c r="D43" s="17"/>
      <c r="E43" s="17"/>
      <c r="F43" s="17"/>
      <c r="G43" s="17">
        <f>TRUNC(70*Q43*(1-L7)*(1-N43))</f>
        <v>0</v>
      </c>
      <c r="H43" s="17"/>
      <c r="I43" s="17"/>
      <c r="J43" s="17"/>
      <c r="K43" s="17">
        <f>TRUNC(100*Q43*(1-L7)*(1-N43))</f>
        <v>0</v>
      </c>
      <c r="L43" s="18"/>
      <c r="M43" s="127" t="s">
        <v>173</v>
      </c>
      <c r="N43" s="124">
        <v>0</v>
      </c>
      <c r="O43" s="150">
        <f t="shared" si="8"/>
        <v>0</v>
      </c>
      <c r="P43" s="145">
        <f t="shared" si="7"/>
        <v>0</v>
      </c>
      <c r="Q43" s="146">
        <f t="shared" si="5"/>
        <v>0</v>
      </c>
    </row>
    <row r="44" spans="1:17" ht="15.75" thickBot="1" x14ac:dyDescent="0.3">
      <c r="A44" s="3" t="s">
        <v>24</v>
      </c>
      <c r="B44" s="117" t="s">
        <v>166</v>
      </c>
      <c r="C44" s="91" t="s">
        <v>8</v>
      </c>
      <c r="D44" s="92" t="s">
        <v>9</v>
      </c>
      <c r="E44" s="92" t="s">
        <v>10</v>
      </c>
      <c r="F44" s="92" t="s">
        <v>137</v>
      </c>
      <c r="G44" s="92" t="s">
        <v>11</v>
      </c>
      <c r="H44" s="92" t="s">
        <v>138</v>
      </c>
      <c r="I44" s="92" t="s">
        <v>139</v>
      </c>
      <c r="J44" s="92" t="s">
        <v>12</v>
      </c>
      <c r="K44" s="92" t="s">
        <v>13</v>
      </c>
      <c r="L44" s="93" t="s">
        <v>105</v>
      </c>
      <c r="M44" s="93"/>
      <c r="N44" s="93"/>
      <c r="O44" s="151"/>
      <c r="P44" s="147"/>
      <c r="Q44" s="148"/>
    </row>
    <row r="45" spans="1:17" x14ac:dyDescent="0.25">
      <c r="A45" t="s">
        <v>25</v>
      </c>
      <c r="B45" s="115">
        <v>15</v>
      </c>
      <c r="C45" s="15"/>
      <c r="D45" s="15">
        <f>TRUNC(20*Q45*(1-L7)*(1-N45))</f>
        <v>0</v>
      </c>
      <c r="E45" s="15"/>
      <c r="F45" s="15"/>
      <c r="G45" s="15"/>
      <c r="H45" s="15"/>
      <c r="I45" s="15">
        <f>TRUNC(150*Q45*(1-L7)*(1-N45))</f>
        <v>0</v>
      </c>
      <c r="J45" s="15"/>
      <c r="K45" s="15"/>
      <c r="L45" s="16">
        <f>TRUNC(40*Q45*(1-L7)*(1-N45))</f>
        <v>0</v>
      </c>
      <c r="M45" s="127" t="s">
        <v>173</v>
      </c>
      <c r="N45" s="124">
        <v>0</v>
      </c>
      <c r="O45" s="149">
        <f>IF(E$6="Cyrodiil",60000*Q45*(1-L$7)*(1-N45),30000*Q45*(1-L$7)*(1-N45))</f>
        <v>0</v>
      </c>
      <c r="P45" s="145">
        <f t="shared" si="7"/>
        <v>0</v>
      </c>
      <c r="Q45" s="146">
        <f t="shared" si="5"/>
        <v>0</v>
      </c>
    </row>
    <row r="46" spans="1:17" x14ac:dyDescent="0.25">
      <c r="A46" t="s">
        <v>27</v>
      </c>
      <c r="B46" s="116">
        <v>15</v>
      </c>
      <c r="C46" s="17"/>
      <c r="D46" s="17">
        <f>TRUNC(120*Q46*(1-L7)*(1-N46))</f>
        <v>0</v>
      </c>
      <c r="E46" s="17">
        <f>TRUNC(50*Q46*(1-L7)*(1-N46))</f>
        <v>0</v>
      </c>
      <c r="F46" s="17"/>
      <c r="G46" s="17"/>
      <c r="H46" s="17"/>
      <c r="I46" s="17"/>
      <c r="J46" s="17"/>
      <c r="K46" s="17"/>
      <c r="L46" s="18"/>
      <c r="M46" s="127" t="s">
        <v>173</v>
      </c>
      <c r="N46" s="124">
        <v>0</v>
      </c>
      <c r="O46" s="150">
        <f>30000*Q46*(1-L$7)*(1-N46)</f>
        <v>0</v>
      </c>
      <c r="P46" s="145">
        <f t="shared" si="7"/>
        <v>0</v>
      </c>
      <c r="Q46" s="146">
        <f t="shared" si="5"/>
        <v>0</v>
      </c>
    </row>
    <row r="47" spans="1:17" x14ac:dyDescent="0.25">
      <c r="A47" t="s">
        <v>26</v>
      </c>
      <c r="B47" s="116">
        <v>15</v>
      </c>
      <c r="C47" s="17"/>
      <c r="D47" s="17">
        <f>TRUNC(60*Q47*(1-L7)*(1-N47))</f>
        <v>0</v>
      </c>
      <c r="E47" s="17">
        <f>TRUNC(110*Q47*(1-L7)*(1-N47))</f>
        <v>0</v>
      </c>
      <c r="F47" s="17"/>
      <c r="G47" s="17"/>
      <c r="H47" s="17"/>
      <c r="I47" s="17"/>
      <c r="J47" s="17"/>
      <c r="K47" s="17"/>
      <c r="L47" s="18"/>
      <c r="M47" s="127" t="s">
        <v>173</v>
      </c>
      <c r="N47" s="124">
        <v>0</v>
      </c>
      <c r="O47" s="150">
        <f>30000*Q47*(1-L$7)*(1-N47)</f>
        <v>0</v>
      </c>
      <c r="P47" s="145">
        <f t="shared" si="7"/>
        <v>0</v>
      </c>
      <c r="Q47" s="146">
        <f t="shared" si="5"/>
        <v>0</v>
      </c>
    </row>
    <row r="48" spans="1:17" x14ac:dyDescent="0.25">
      <c r="A48" t="s">
        <v>28</v>
      </c>
      <c r="B48" s="116">
        <v>15</v>
      </c>
      <c r="C48" s="17"/>
      <c r="D48" s="17">
        <f>TRUNC(170*Q48*(1-L7)*(1-N48))</f>
        <v>0</v>
      </c>
      <c r="E48" s="17"/>
      <c r="F48" s="17"/>
      <c r="G48" s="17"/>
      <c r="H48" s="17"/>
      <c r="I48" s="17"/>
      <c r="J48" s="17"/>
      <c r="K48" s="17"/>
      <c r="L48" s="18"/>
      <c r="M48" s="127" t="s">
        <v>173</v>
      </c>
      <c r="N48" s="124">
        <v>0</v>
      </c>
      <c r="O48" s="150">
        <f t="shared" ref="O48:O53" si="9">30000*Q48*(1-L$7)*(1-N48)</f>
        <v>0</v>
      </c>
      <c r="P48" s="145">
        <f t="shared" si="7"/>
        <v>0</v>
      </c>
      <c r="Q48" s="146">
        <f t="shared" si="5"/>
        <v>0</v>
      </c>
    </row>
    <row r="49" spans="1:17" x14ac:dyDescent="0.25">
      <c r="A49" t="s">
        <v>29</v>
      </c>
      <c r="B49" s="116">
        <v>15</v>
      </c>
      <c r="C49" s="17"/>
      <c r="D49" s="17"/>
      <c r="E49" s="17"/>
      <c r="F49" s="17"/>
      <c r="G49" s="17"/>
      <c r="H49" s="17"/>
      <c r="I49" s="17"/>
      <c r="J49" s="17">
        <f>TRUNC(170*Q49*(1-L7)*(1-N49))</f>
        <v>0</v>
      </c>
      <c r="K49" s="17"/>
      <c r="L49" s="18"/>
      <c r="M49" s="127" t="s">
        <v>173</v>
      </c>
      <c r="N49" s="124">
        <v>0</v>
      </c>
      <c r="O49" s="150">
        <f t="shared" si="9"/>
        <v>0</v>
      </c>
      <c r="P49" s="145">
        <f t="shared" si="7"/>
        <v>0</v>
      </c>
      <c r="Q49" s="146">
        <f t="shared" si="5"/>
        <v>0</v>
      </c>
    </row>
    <row r="50" spans="1:17" x14ac:dyDescent="0.25">
      <c r="A50" t="s">
        <v>58</v>
      </c>
      <c r="B50" s="116">
        <v>15</v>
      </c>
      <c r="C50" s="17">
        <f>TRUNC(170*Q50*(1-L7)*(1-N50))</f>
        <v>0</v>
      </c>
      <c r="D50" s="17"/>
      <c r="E50" s="17"/>
      <c r="F50" s="17"/>
      <c r="G50" s="17"/>
      <c r="H50" s="17"/>
      <c r="I50" s="17"/>
      <c r="J50" s="17"/>
      <c r="K50" s="17"/>
      <c r="L50" s="18"/>
      <c r="M50" s="127" t="s">
        <v>173</v>
      </c>
      <c r="N50" s="124">
        <v>0</v>
      </c>
      <c r="O50" s="150">
        <f t="shared" si="9"/>
        <v>0</v>
      </c>
      <c r="P50" s="145">
        <f t="shared" si="7"/>
        <v>0</v>
      </c>
      <c r="Q50" s="146">
        <f t="shared" si="5"/>
        <v>0</v>
      </c>
    </row>
    <row r="51" spans="1:17" x14ac:dyDescent="0.25">
      <c r="A51" t="s">
        <v>30</v>
      </c>
      <c r="B51" s="116">
        <v>15</v>
      </c>
      <c r="C51" s="17">
        <f>TRUNC(100*Q51*(1-L7)*(1-N51))</f>
        <v>0</v>
      </c>
      <c r="D51" s="17"/>
      <c r="E51" s="17"/>
      <c r="F51" s="17"/>
      <c r="G51" s="17"/>
      <c r="H51" s="17"/>
      <c r="I51" s="17"/>
      <c r="J51" s="17">
        <f>TRUNC(70*Q51*(1-L7)*(1-N51))</f>
        <v>0</v>
      </c>
      <c r="K51" s="17"/>
      <c r="L51" s="18"/>
      <c r="M51" s="127" t="s">
        <v>173</v>
      </c>
      <c r="N51" s="124">
        <v>0</v>
      </c>
      <c r="O51" s="150">
        <f t="shared" si="9"/>
        <v>0</v>
      </c>
      <c r="P51" s="145">
        <f t="shared" si="7"/>
        <v>0</v>
      </c>
      <c r="Q51" s="146">
        <f t="shared" si="5"/>
        <v>0</v>
      </c>
    </row>
    <row r="52" spans="1:17" x14ac:dyDescent="0.25">
      <c r="A52" t="s">
        <v>31</v>
      </c>
      <c r="B52" s="116">
        <v>15</v>
      </c>
      <c r="C52" s="17">
        <f>TRUNC(90*Q52*(1-L7)*(1-N52))</f>
        <v>0</v>
      </c>
      <c r="D52" s="17"/>
      <c r="E52" s="17">
        <f>TRUNC(40*Q52*(1-L7)*(1-N52))</f>
        <v>0</v>
      </c>
      <c r="F52" s="17">
        <f>TRUNC(40*Q52*(1-L7)*(1-N52))</f>
        <v>0</v>
      </c>
      <c r="G52" s="17"/>
      <c r="H52" s="17"/>
      <c r="I52" s="17"/>
      <c r="J52" s="17"/>
      <c r="K52" s="17"/>
      <c r="L52" s="18"/>
      <c r="M52" s="127" t="s">
        <v>173</v>
      </c>
      <c r="N52" s="124">
        <v>0</v>
      </c>
      <c r="O52" s="150">
        <f t="shared" si="9"/>
        <v>0</v>
      </c>
      <c r="P52" s="145">
        <f t="shared" si="7"/>
        <v>0</v>
      </c>
      <c r="Q52" s="146">
        <f t="shared" si="5"/>
        <v>0</v>
      </c>
    </row>
    <row r="53" spans="1:17" ht="15.75" thickBot="1" x14ac:dyDescent="0.3">
      <c r="A53" t="s">
        <v>32</v>
      </c>
      <c r="B53" s="118">
        <v>15</v>
      </c>
      <c r="C53" s="20">
        <f>TRUNC(110*Q53*(1-L7)*(1-N53))</f>
        <v>0</v>
      </c>
      <c r="D53" s="21"/>
      <c r="E53" s="21"/>
      <c r="F53" s="21"/>
      <c r="G53" s="21"/>
      <c r="H53" s="21">
        <f>TRUNC(60*Q53*(1-L7)*(1-N53))</f>
        <v>0</v>
      </c>
      <c r="I53" s="21"/>
      <c r="J53" s="21"/>
      <c r="K53" s="21"/>
      <c r="L53" s="22"/>
      <c r="M53" s="127" t="s">
        <v>173</v>
      </c>
      <c r="N53" s="124">
        <v>0</v>
      </c>
      <c r="O53" s="150">
        <f t="shared" si="9"/>
        <v>0</v>
      </c>
      <c r="P53" s="145">
        <f t="shared" si="7"/>
        <v>0</v>
      </c>
      <c r="Q53" s="146">
        <f t="shared" si="5"/>
        <v>0</v>
      </c>
    </row>
    <row r="54" spans="1:17" ht="15.75" thickBot="1" x14ac:dyDescent="0.3">
      <c r="A54" s="3" t="s">
        <v>33</v>
      </c>
      <c r="B54" s="117" t="s">
        <v>166</v>
      </c>
      <c r="C54" s="91" t="s">
        <v>8</v>
      </c>
      <c r="D54" s="92" t="s">
        <v>9</v>
      </c>
      <c r="E54" s="92" t="s">
        <v>10</v>
      </c>
      <c r="F54" s="92" t="s">
        <v>137</v>
      </c>
      <c r="G54" s="92" t="s">
        <v>11</v>
      </c>
      <c r="H54" s="92" t="s">
        <v>138</v>
      </c>
      <c r="I54" s="92" t="s">
        <v>139</v>
      </c>
      <c r="J54" s="92" t="s">
        <v>12</v>
      </c>
      <c r="K54" s="92" t="s">
        <v>13</v>
      </c>
      <c r="L54" s="93" t="s">
        <v>105</v>
      </c>
      <c r="M54" s="93"/>
      <c r="N54" s="93"/>
      <c r="O54" s="151"/>
      <c r="P54" s="147"/>
      <c r="Q54" s="148"/>
    </row>
    <row r="55" spans="1:17" x14ac:dyDescent="0.25">
      <c r="A55" t="s">
        <v>34</v>
      </c>
      <c r="B55" s="115">
        <v>15</v>
      </c>
      <c r="C55" s="15"/>
      <c r="D55" s="15">
        <f>TRUNC(150*Q55*(1-L7)*(1-N55))</f>
        <v>0</v>
      </c>
      <c r="E55" s="15"/>
      <c r="F55" s="15"/>
      <c r="G55" s="15"/>
      <c r="H55" s="15"/>
      <c r="I55" s="15"/>
      <c r="J55" s="15">
        <f>TRUNC(60*Q55*(1-L7)*(1-N55))</f>
        <v>0</v>
      </c>
      <c r="K55" s="15"/>
      <c r="L55" s="16"/>
      <c r="M55" s="127" t="s">
        <v>173</v>
      </c>
      <c r="N55" s="124">
        <v>0</v>
      </c>
      <c r="O55" s="149">
        <f>IF(E$6="Elsweyr",60000*Q55*(1-L$7)*(1-N55),30000*Q55*(1-L$7)*(1-N55))</f>
        <v>0</v>
      </c>
      <c r="P55" s="145">
        <f t="shared" si="7"/>
        <v>0</v>
      </c>
      <c r="Q55" s="146">
        <f t="shared" si="5"/>
        <v>0</v>
      </c>
    </row>
    <row r="56" spans="1:17" x14ac:dyDescent="0.25">
      <c r="A56" t="s">
        <v>35</v>
      </c>
      <c r="B56" s="116">
        <v>15</v>
      </c>
      <c r="C56" s="17"/>
      <c r="D56" s="17"/>
      <c r="E56" s="17"/>
      <c r="F56" s="17">
        <f>TRUNC(70*Q56*(1-L7)*(1-N56))</f>
        <v>0</v>
      </c>
      <c r="G56" s="17"/>
      <c r="H56" s="17">
        <f>TRUNC(100*Q56*(1-L7)*(1-N56))</f>
        <v>0</v>
      </c>
      <c r="I56" s="17"/>
      <c r="J56" s="17"/>
      <c r="K56" s="17"/>
      <c r="L56" s="18"/>
      <c r="M56" s="127" t="s">
        <v>173</v>
      </c>
      <c r="N56" s="124">
        <v>0</v>
      </c>
      <c r="O56" s="150">
        <f t="shared" ref="O56:O61" si="10">30000*Q56*(1-L$7)*(1-N56)</f>
        <v>0</v>
      </c>
      <c r="P56" s="145">
        <f t="shared" si="7"/>
        <v>0</v>
      </c>
      <c r="Q56" s="146">
        <f t="shared" si="5"/>
        <v>0</v>
      </c>
    </row>
    <row r="57" spans="1:17" x14ac:dyDescent="0.25">
      <c r="A57" t="s">
        <v>36</v>
      </c>
      <c r="B57" s="116">
        <v>15</v>
      </c>
      <c r="C57" s="17"/>
      <c r="D57" s="17"/>
      <c r="E57" s="17"/>
      <c r="F57" s="17"/>
      <c r="G57" s="17"/>
      <c r="H57" s="17"/>
      <c r="I57" s="17"/>
      <c r="J57" s="17">
        <f>TRUNC(170*Q57*(1-L7)*(1-N57))</f>
        <v>0</v>
      </c>
      <c r="K57" s="17"/>
      <c r="L57" s="18"/>
      <c r="M57" s="127" t="s">
        <v>173</v>
      </c>
      <c r="N57" s="124">
        <v>0</v>
      </c>
      <c r="O57" s="150">
        <f t="shared" si="10"/>
        <v>0</v>
      </c>
      <c r="P57" s="145">
        <f t="shared" si="7"/>
        <v>0</v>
      </c>
      <c r="Q57" s="146">
        <f t="shared" si="5"/>
        <v>0</v>
      </c>
    </row>
    <row r="58" spans="1:17" x14ac:dyDescent="0.25">
      <c r="A58" t="s">
        <v>37</v>
      </c>
      <c r="B58" s="116">
        <v>15</v>
      </c>
      <c r="C58" s="17"/>
      <c r="D58" s="17"/>
      <c r="E58" s="17"/>
      <c r="F58" s="17"/>
      <c r="G58" s="17"/>
      <c r="H58" s="17">
        <f>TRUNC(170*Q58*(1-L7)*(1-N58))</f>
        <v>0</v>
      </c>
      <c r="I58" s="17"/>
      <c r="J58" s="17"/>
      <c r="K58" s="17"/>
      <c r="L58" s="18"/>
      <c r="M58" s="127" t="s">
        <v>173</v>
      </c>
      <c r="N58" s="124">
        <v>0</v>
      </c>
      <c r="O58" s="150">
        <f t="shared" si="10"/>
        <v>0</v>
      </c>
      <c r="P58" s="145">
        <f t="shared" si="7"/>
        <v>0</v>
      </c>
      <c r="Q58" s="146">
        <f t="shared" si="5"/>
        <v>0</v>
      </c>
    </row>
    <row r="59" spans="1:17" x14ac:dyDescent="0.25">
      <c r="A59" t="s">
        <v>38</v>
      </c>
      <c r="B59" s="116">
        <v>15</v>
      </c>
      <c r="C59" s="17"/>
      <c r="D59" s="17"/>
      <c r="E59" s="17"/>
      <c r="F59" s="17">
        <f>TRUNC(130*Q59*(1-L7)*(1-N59))</f>
        <v>0</v>
      </c>
      <c r="G59" s="17"/>
      <c r="H59" s="17"/>
      <c r="I59" s="17"/>
      <c r="J59" s="17">
        <f>TRUNC(40*Q59*(1-L7)*(1-N59))</f>
        <v>0</v>
      </c>
      <c r="K59" s="17"/>
      <c r="L59" s="18"/>
      <c r="M59" s="127" t="s">
        <v>173</v>
      </c>
      <c r="N59" s="124">
        <v>0</v>
      </c>
      <c r="O59" s="150">
        <f t="shared" si="10"/>
        <v>0</v>
      </c>
      <c r="P59" s="145">
        <f t="shared" si="7"/>
        <v>0</v>
      </c>
      <c r="Q59" s="146">
        <f t="shared" si="5"/>
        <v>0</v>
      </c>
    </row>
    <row r="60" spans="1:17" x14ac:dyDescent="0.25">
      <c r="A60" t="s">
        <v>39</v>
      </c>
      <c r="B60" s="116">
        <v>15</v>
      </c>
      <c r="C60" s="17"/>
      <c r="D60" s="17"/>
      <c r="E60" s="17"/>
      <c r="F60" s="17"/>
      <c r="G60" s="17"/>
      <c r="H60" s="17"/>
      <c r="I60" s="17"/>
      <c r="J60" s="17">
        <f>TRUNC(60*Q60*(1-L7)*(1-N60))</f>
        <v>0</v>
      </c>
      <c r="K60" s="17"/>
      <c r="L60" s="18">
        <f>TRUNC(110*Q60*(1-L7)*(1-N60))</f>
        <v>0</v>
      </c>
      <c r="M60" s="127" t="s">
        <v>173</v>
      </c>
      <c r="N60" s="124">
        <v>0</v>
      </c>
      <c r="O60" s="150">
        <f t="shared" si="10"/>
        <v>0</v>
      </c>
      <c r="P60" s="145">
        <f t="shared" si="7"/>
        <v>0</v>
      </c>
      <c r="Q60" s="146">
        <f t="shared" si="5"/>
        <v>0</v>
      </c>
    </row>
    <row r="61" spans="1:17" ht="15.75" thickBot="1" x14ac:dyDescent="0.3">
      <c r="A61" t="s">
        <v>40</v>
      </c>
      <c r="B61" s="116">
        <v>15</v>
      </c>
      <c r="C61" s="17">
        <f>TRUNC(30*Q61*(1-L7)*(1-N61))</f>
        <v>0</v>
      </c>
      <c r="D61" s="17"/>
      <c r="E61" s="17">
        <f>TRUNC(60*Q61*(1-L7)*(1-N61))</f>
        <v>0</v>
      </c>
      <c r="F61" s="17"/>
      <c r="G61" s="17"/>
      <c r="H61" s="17"/>
      <c r="I61" s="17"/>
      <c r="J61" s="17">
        <f>TRUNC(80*Q61*(1-L7)*(1-N61))</f>
        <v>0</v>
      </c>
      <c r="K61" s="17"/>
      <c r="L61" s="18"/>
      <c r="M61" s="127" t="s">
        <v>173</v>
      </c>
      <c r="N61" s="124">
        <v>0</v>
      </c>
      <c r="O61" s="150">
        <f t="shared" si="10"/>
        <v>0</v>
      </c>
      <c r="P61" s="145">
        <f t="shared" si="7"/>
        <v>0</v>
      </c>
      <c r="Q61" s="146">
        <f t="shared" si="5"/>
        <v>0</v>
      </c>
    </row>
    <row r="62" spans="1:17" ht="15.75" thickBot="1" x14ac:dyDescent="0.3">
      <c r="A62" s="3" t="s">
        <v>41</v>
      </c>
      <c r="B62" s="117" t="s">
        <v>166</v>
      </c>
      <c r="C62" s="91" t="s">
        <v>8</v>
      </c>
      <c r="D62" s="92" t="s">
        <v>9</v>
      </c>
      <c r="E62" s="92" t="s">
        <v>10</v>
      </c>
      <c r="F62" s="92" t="s">
        <v>137</v>
      </c>
      <c r="G62" s="92" t="s">
        <v>11</v>
      </c>
      <c r="H62" s="92" t="s">
        <v>138</v>
      </c>
      <c r="I62" s="92" t="s">
        <v>139</v>
      </c>
      <c r="J62" s="92" t="s">
        <v>12</v>
      </c>
      <c r="K62" s="92" t="s">
        <v>13</v>
      </c>
      <c r="L62" s="93" t="s">
        <v>105</v>
      </c>
      <c r="M62" s="93"/>
      <c r="N62" s="93"/>
      <c r="O62" s="151"/>
      <c r="P62" s="147"/>
      <c r="Q62" s="148"/>
    </row>
    <row r="63" spans="1:17" x14ac:dyDescent="0.25">
      <c r="A63" t="s">
        <v>42</v>
      </c>
      <c r="B63" s="115">
        <v>15</v>
      </c>
      <c r="C63" s="15"/>
      <c r="D63" s="15">
        <f>TRUNC(60*Q63*(1-L7)*(1-N63))</f>
        <v>0</v>
      </c>
      <c r="E63" s="15"/>
      <c r="F63" s="15"/>
      <c r="G63" s="15"/>
      <c r="H63" s="15"/>
      <c r="I63" s="15"/>
      <c r="J63" s="15"/>
      <c r="K63" s="15"/>
      <c r="L63" s="16">
        <f>TRUNC(150*Q63*(1-L7)*(1-N63))</f>
        <v>0</v>
      </c>
      <c r="M63" s="127" t="s">
        <v>173</v>
      </c>
      <c r="N63" s="124">
        <v>0</v>
      </c>
      <c r="O63" s="149">
        <f>IF(E$6="Hauteroche",60000*Q63*(1-L$7)*(1-N63),30000*Q63*(1-L$7)*(1-N63))</f>
        <v>0</v>
      </c>
      <c r="P63" s="145">
        <f t="shared" si="7"/>
        <v>0</v>
      </c>
      <c r="Q63" s="146">
        <f t="shared" si="5"/>
        <v>0</v>
      </c>
    </row>
    <row r="64" spans="1:17" x14ac:dyDescent="0.25">
      <c r="A64" t="s">
        <v>43</v>
      </c>
      <c r="B64" s="116">
        <v>15</v>
      </c>
      <c r="C64" s="17"/>
      <c r="D64" s="17">
        <f>TRUNC(70*Q64*(1-L7)*(1-N64))</f>
        <v>0</v>
      </c>
      <c r="E64" s="17"/>
      <c r="F64" s="17"/>
      <c r="G64" s="17"/>
      <c r="H64" s="17"/>
      <c r="I64" s="17"/>
      <c r="J64" s="17"/>
      <c r="K64" s="17"/>
      <c r="L64" s="18">
        <f>TRUNC(100*Q64*(1-L7)*(1-N64))</f>
        <v>0</v>
      </c>
      <c r="M64" s="127" t="s">
        <v>173</v>
      </c>
      <c r="N64" s="124">
        <v>0</v>
      </c>
      <c r="O64" s="150">
        <f t="shared" ref="O64:O70" si="11">30000*Q64*(1-L$7)*(1-N64)</f>
        <v>0</v>
      </c>
      <c r="P64" s="145">
        <f t="shared" si="7"/>
        <v>0</v>
      </c>
      <c r="Q64" s="146">
        <f t="shared" si="5"/>
        <v>0</v>
      </c>
    </row>
    <row r="65" spans="1:17" x14ac:dyDescent="0.25">
      <c r="A65" t="s">
        <v>44</v>
      </c>
      <c r="B65" s="116">
        <v>15</v>
      </c>
      <c r="C65" s="17"/>
      <c r="D65" s="17">
        <f>TRUNC(80*Q65*(1-L7)*(1-N65))</f>
        <v>0</v>
      </c>
      <c r="E65" s="17">
        <f>TRUNC(20*Q65*(1-L7)*(1-N65))</f>
        <v>0</v>
      </c>
      <c r="F65" s="17"/>
      <c r="G65" s="17"/>
      <c r="H65" s="17"/>
      <c r="I65" s="17"/>
      <c r="J65" s="17"/>
      <c r="K65" s="17">
        <f>TRUNC(70*Q65*(1-L7)*(1-N65))</f>
        <v>0</v>
      </c>
      <c r="L65" s="18"/>
      <c r="M65" s="127" t="s">
        <v>173</v>
      </c>
      <c r="N65" s="124">
        <v>0</v>
      </c>
      <c r="O65" s="150">
        <f t="shared" si="11"/>
        <v>0</v>
      </c>
      <c r="P65" s="145">
        <f t="shared" si="7"/>
        <v>0</v>
      </c>
      <c r="Q65" s="146">
        <f t="shared" si="5"/>
        <v>0</v>
      </c>
    </row>
    <row r="66" spans="1:17" x14ac:dyDescent="0.25">
      <c r="A66" t="s">
        <v>45</v>
      </c>
      <c r="B66" s="116">
        <v>15</v>
      </c>
      <c r="C66" s="17">
        <f>TRUNC(100*Q66*(1-L7)*(1-N66))</f>
        <v>0</v>
      </c>
      <c r="D66" s="17">
        <f>TRUNC(70*Q66*(1-L7)*(1-N66))</f>
        <v>0</v>
      </c>
      <c r="E66" s="17"/>
      <c r="F66" s="17"/>
      <c r="G66" s="17"/>
      <c r="H66" s="17"/>
      <c r="I66" s="17"/>
      <c r="J66" s="17"/>
      <c r="K66" s="17"/>
      <c r="L66" s="18"/>
      <c r="M66" s="127" t="s">
        <v>173</v>
      </c>
      <c r="N66" s="124">
        <v>0</v>
      </c>
      <c r="O66" s="150">
        <f t="shared" si="11"/>
        <v>0</v>
      </c>
      <c r="P66" s="145">
        <f t="shared" si="7"/>
        <v>0</v>
      </c>
      <c r="Q66" s="146">
        <f t="shared" si="5"/>
        <v>0</v>
      </c>
    </row>
    <row r="67" spans="1:17" x14ac:dyDescent="0.25">
      <c r="A67" t="s">
        <v>46</v>
      </c>
      <c r="B67" s="116">
        <v>15</v>
      </c>
      <c r="C67" s="17">
        <f>TRUNC(120*Q67*(1-L7)*(1-N67))</f>
        <v>0</v>
      </c>
      <c r="D67" s="17">
        <f>TRUNC(50*Q67*(1-L7)*(1-N67))</f>
        <v>0</v>
      </c>
      <c r="E67" s="17"/>
      <c r="F67" s="17"/>
      <c r="G67" s="17"/>
      <c r="H67" s="17"/>
      <c r="I67" s="17"/>
      <c r="J67" s="17"/>
      <c r="K67" s="17"/>
      <c r="L67" s="18"/>
      <c r="M67" s="127" t="s">
        <v>173</v>
      </c>
      <c r="N67" s="124">
        <v>0</v>
      </c>
      <c r="O67" s="150">
        <f t="shared" si="11"/>
        <v>0</v>
      </c>
      <c r="P67" s="145">
        <f t="shared" si="7"/>
        <v>0</v>
      </c>
      <c r="Q67" s="146">
        <f t="shared" si="5"/>
        <v>0</v>
      </c>
    </row>
    <row r="68" spans="1:17" x14ac:dyDescent="0.25">
      <c r="A68" t="s">
        <v>47</v>
      </c>
      <c r="B68" s="116">
        <v>15</v>
      </c>
      <c r="C68" s="17"/>
      <c r="D68" s="17"/>
      <c r="E68" s="17"/>
      <c r="F68" s="17"/>
      <c r="G68" s="17">
        <f>TRUNC(100*Q68*(1-L7)*(1-N68))</f>
        <v>0</v>
      </c>
      <c r="H68" s="17"/>
      <c r="I68" s="17"/>
      <c r="J68" s="17"/>
      <c r="K68" s="17"/>
      <c r="L68" s="18">
        <f>TRUNC(70*Q68*(1-L7)*(1-N68))</f>
        <v>0</v>
      </c>
      <c r="M68" s="127" t="s">
        <v>173</v>
      </c>
      <c r="N68" s="124">
        <v>0</v>
      </c>
      <c r="O68" s="150">
        <f t="shared" si="11"/>
        <v>0</v>
      </c>
      <c r="P68" s="145">
        <f t="shared" si="7"/>
        <v>0</v>
      </c>
      <c r="Q68" s="146">
        <f t="shared" si="5"/>
        <v>0</v>
      </c>
    </row>
    <row r="69" spans="1:17" x14ac:dyDescent="0.25">
      <c r="A69" t="s">
        <v>48</v>
      </c>
      <c r="B69" s="116">
        <v>15</v>
      </c>
      <c r="C69" s="17"/>
      <c r="D69" s="17">
        <f>TRUNC(90*Q69*(1-L7)*(1-N69))</f>
        <v>0</v>
      </c>
      <c r="E69" s="17"/>
      <c r="F69" s="17"/>
      <c r="G69" s="17"/>
      <c r="H69" s="17">
        <f>TRUNC(80*Q69*(1-L7)*(1-N69))</f>
        <v>0</v>
      </c>
      <c r="I69" s="17"/>
      <c r="J69" s="17"/>
      <c r="K69" s="17"/>
      <c r="L69" s="18"/>
      <c r="M69" s="127" t="s">
        <v>173</v>
      </c>
      <c r="N69" s="124">
        <v>0</v>
      </c>
      <c r="O69" s="150">
        <f t="shared" si="11"/>
        <v>0</v>
      </c>
      <c r="P69" s="145">
        <f t="shared" si="7"/>
        <v>0</v>
      </c>
      <c r="Q69" s="146">
        <f t="shared" si="5"/>
        <v>0</v>
      </c>
    </row>
    <row r="70" spans="1:17" ht="15.75" thickBot="1" x14ac:dyDescent="0.3">
      <c r="A70" t="s">
        <v>104</v>
      </c>
      <c r="B70" s="116">
        <v>15</v>
      </c>
      <c r="C70" s="17"/>
      <c r="D70" s="17"/>
      <c r="E70" s="17"/>
      <c r="F70" s="17"/>
      <c r="G70" s="17">
        <f>TRUNC(70*Q70*(1-L7)*(1-N70))</f>
        <v>0</v>
      </c>
      <c r="H70" s="17">
        <f>TRUNC(100*Q70*(1-L7)*(1-N70))</f>
        <v>0</v>
      </c>
      <c r="I70" s="17"/>
      <c r="J70" s="17"/>
      <c r="K70" s="17"/>
      <c r="L70" s="18"/>
      <c r="M70" s="127" t="s">
        <v>173</v>
      </c>
      <c r="N70" s="124">
        <v>0</v>
      </c>
      <c r="O70" s="150">
        <f t="shared" si="11"/>
        <v>0</v>
      </c>
      <c r="P70" s="145">
        <f t="shared" si="7"/>
        <v>0</v>
      </c>
      <c r="Q70" s="146">
        <f t="shared" si="5"/>
        <v>0</v>
      </c>
    </row>
    <row r="71" spans="1:17" ht="15.75" thickBot="1" x14ac:dyDescent="0.3">
      <c r="A71" s="3" t="s">
        <v>49</v>
      </c>
      <c r="B71" s="117" t="s">
        <v>166</v>
      </c>
      <c r="C71" s="91" t="s">
        <v>8</v>
      </c>
      <c r="D71" s="92" t="s">
        <v>9</v>
      </c>
      <c r="E71" s="92" t="s">
        <v>10</v>
      </c>
      <c r="F71" s="92" t="s">
        <v>137</v>
      </c>
      <c r="G71" s="92" t="s">
        <v>11</v>
      </c>
      <c r="H71" s="92" t="s">
        <v>138</v>
      </c>
      <c r="I71" s="92" t="s">
        <v>139</v>
      </c>
      <c r="J71" s="92" t="s">
        <v>12</v>
      </c>
      <c r="K71" s="92" t="s">
        <v>13</v>
      </c>
      <c r="L71" s="93" t="s">
        <v>105</v>
      </c>
      <c r="M71" s="93"/>
      <c r="N71" s="93"/>
      <c r="O71" s="151"/>
      <c r="P71" s="147"/>
      <c r="Q71" s="148"/>
    </row>
    <row r="72" spans="1:17" x14ac:dyDescent="0.25">
      <c r="A72" t="s">
        <v>50</v>
      </c>
      <c r="B72" s="115">
        <v>15</v>
      </c>
      <c r="C72" s="15"/>
      <c r="D72" s="15"/>
      <c r="E72" s="15"/>
      <c r="F72" s="15">
        <f>TRUNC(110*Q72*(1-L7)*(1-N72))</f>
        <v>0</v>
      </c>
      <c r="G72" s="15"/>
      <c r="H72" s="15"/>
      <c r="I72" s="15">
        <f>TRUNC(100*Q72*(1-L7)*(1-N72))</f>
        <v>0</v>
      </c>
      <c r="J72" s="15"/>
      <c r="K72" s="15"/>
      <c r="L72" s="16"/>
      <c r="M72" s="127" t="s">
        <v>173</v>
      </c>
      <c r="N72" s="124">
        <v>0</v>
      </c>
      <c r="O72" s="149">
        <f>IF(E$6="Lenclume",60000*Q72*(1-L$7)*(1-N72),30000*Q72*(1-L$7)*(1-N72))</f>
        <v>0</v>
      </c>
      <c r="P72" s="145">
        <f t="shared" si="7"/>
        <v>0</v>
      </c>
      <c r="Q72" s="146">
        <f t="shared" si="5"/>
        <v>0</v>
      </c>
    </row>
    <row r="73" spans="1:17" x14ac:dyDescent="0.25">
      <c r="A73" t="s">
        <v>51</v>
      </c>
      <c r="B73" s="116">
        <v>15</v>
      </c>
      <c r="C73" s="17"/>
      <c r="D73" s="17"/>
      <c r="E73" s="17"/>
      <c r="F73" s="17"/>
      <c r="G73" s="17">
        <f>TRUNC(60*Q73*(1-L7)*(1-N73))</f>
        <v>0</v>
      </c>
      <c r="H73" s="17"/>
      <c r="I73" s="17"/>
      <c r="J73" s="17">
        <f>TRUNC(110*Q73*(1-L7)*(1-N73))</f>
        <v>0</v>
      </c>
      <c r="K73" s="17"/>
      <c r="L73" s="18"/>
      <c r="M73" s="127" t="s">
        <v>173</v>
      </c>
      <c r="N73" s="124">
        <v>0</v>
      </c>
      <c r="O73" s="150">
        <f t="shared" ref="O73:O79" si="12">30000*Q73*(1-L$7)*(1-N73)</f>
        <v>0</v>
      </c>
      <c r="P73" s="145">
        <f t="shared" si="7"/>
        <v>0</v>
      </c>
      <c r="Q73" s="146">
        <f t="shared" si="5"/>
        <v>0</v>
      </c>
    </row>
    <row r="74" spans="1:17" x14ac:dyDescent="0.25">
      <c r="A74" t="s">
        <v>52</v>
      </c>
      <c r="B74" s="116">
        <v>15</v>
      </c>
      <c r="C74" s="17"/>
      <c r="D74" s="17"/>
      <c r="E74" s="17"/>
      <c r="F74" s="17">
        <f>TRUNC(120*Q74*(1-L7)*(1-N74))</f>
        <v>0</v>
      </c>
      <c r="G74" s="17"/>
      <c r="H74" s="17"/>
      <c r="I74" s="17"/>
      <c r="J74" s="17">
        <f>TRUNC(50*Q74*(1-L7)*(1-N74))</f>
        <v>0</v>
      </c>
      <c r="K74" s="17"/>
      <c r="L74" s="18"/>
      <c r="M74" s="127" t="s">
        <v>173</v>
      </c>
      <c r="N74" s="124">
        <v>0</v>
      </c>
      <c r="O74" s="150">
        <f t="shared" si="12"/>
        <v>0</v>
      </c>
      <c r="P74" s="145">
        <f t="shared" si="7"/>
        <v>0</v>
      </c>
      <c r="Q74" s="146">
        <f t="shared" si="5"/>
        <v>0</v>
      </c>
    </row>
    <row r="75" spans="1:17" x14ac:dyDescent="0.25">
      <c r="A75" t="s">
        <v>53</v>
      </c>
      <c r="B75" s="116">
        <v>15</v>
      </c>
      <c r="C75" s="17"/>
      <c r="D75" s="17"/>
      <c r="E75" s="17"/>
      <c r="F75" s="17">
        <f>TRUNC(170*Q75*(1-L7)*(1-N75))</f>
        <v>0</v>
      </c>
      <c r="G75" s="17"/>
      <c r="H75" s="17"/>
      <c r="I75" s="17"/>
      <c r="J75" s="17"/>
      <c r="K75" s="17"/>
      <c r="L75" s="18"/>
      <c r="M75" s="127" t="s">
        <v>173</v>
      </c>
      <c r="N75" s="124">
        <v>0</v>
      </c>
      <c r="O75" s="150">
        <f t="shared" si="12"/>
        <v>0</v>
      </c>
      <c r="P75" s="145">
        <f t="shared" si="7"/>
        <v>0</v>
      </c>
      <c r="Q75" s="146">
        <f t="shared" si="5"/>
        <v>0</v>
      </c>
    </row>
    <row r="76" spans="1:17" x14ac:dyDescent="0.25">
      <c r="A76" t="s">
        <v>54</v>
      </c>
      <c r="B76" s="116">
        <v>15</v>
      </c>
      <c r="C76" s="17"/>
      <c r="D76" s="17"/>
      <c r="E76" s="17"/>
      <c r="F76" s="17"/>
      <c r="G76" s="17"/>
      <c r="H76" s="17"/>
      <c r="I76" s="17"/>
      <c r="J76" s="17">
        <f>TRUNC(170*Q76*(1-L7)*(1-N76))</f>
        <v>0</v>
      </c>
      <c r="K76" s="17"/>
      <c r="L76" s="18"/>
      <c r="M76" s="127" t="s">
        <v>173</v>
      </c>
      <c r="N76" s="124">
        <v>0</v>
      </c>
      <c r="O76" s="150">
        <f t="shared" si="12"/>
        <v>0</v>
      </c>
      <c r="P76" s="145">
        <f t="shared" si="7"/>
        <v>0</v>
      </c>
      <c r="Q76" s="146">
        <f t="shared" si="5"/>
        <v>0</v>
      </c>
    </row>
    <row r="77" spans="1:17" x14ac:dyDescent="0.25">
      <c r="A77" t="s">
        <v>55</v>
      </c>
      <c r="B77" s="116">
        <v>15</v>
      </c>
      <c r="C77" s="17"/>
      <c r="D77" s="17"/>
      <c r="E77" s="17">
        <f>TRUNC(120*Q77*(1-L7)*(1-N77))</f>
        <v>0</v>
      </c>
      <c r="F77" s="17"/>
      <c r="G77" s="17"/>
      <c r="H77" s="17"/>
      <c r="I77" s="17"/>
      <c r="J77" s="17"/>
      <c r="K77" s="17">
        <f>TRUNC(50*Q77*(1-L7)*(1-N77))</f>
        <v>0</v>
      </c>
      <c r="L77" s="18"/>
      <c r="M77" s="127" t="s">
        <v>173</v>
      </c>
      <c r="N77" s="124">
        <v>0</v>
      </c>
      <c r="O77" s="150">
        <f t="shared" si="12"/>
        <v>0</v>
      </c>
      <c r="P77" s="145">
        <f t="shared" si="7"/>
        <v>0</v>
      </c>
      <c r="Q77" s="146">
        <f t="shared" si="5"/>
        <v>0</v>
      </c>
    </row>
    <row r="78" spans="1:17" x14ac:dyDescent="0.25">
      <c r="A78" t="s">
        <v>56</v>
      </c>
      <c r="B78" s="116">
        <v>15</v>
      </c>
      <c r="C78" s="17"/>
      <c r="D78" s="17"/>
      <c r="E78" s="17">
        <f>TRUNC(120*Q78*(1-L7)*(1-N78))</f>
        <v>0</v>
      </c>
      <c r="F78" s="17"/>
      <c r="G78" s="17"/>
      <c r="H78" s="17"/>
      <c r="I78" s="17">
        <f>TRUNC(50*Q78*(1-L7)*(1-N78))</f>
        <v>0</v>
      </c>
      <c r="J78" s="17"/>
      <c r="K78" s="17"/>
      <c r="L78" s="18"/>
      <c r="M78" s="127" t="s">
        <v>173</v>
      </c>
      <c r="N78" s="124">
        <v>0</v>
      </c>
      <c r="O78" s="150">
        <f t="shared" si="12"/>
        <v>0</v>
      </c>
      <c r="P78" s="145">
        <f t="shared" si="7"/>
        <v>0</v>
      </c>
      <c r="Q78" s="146">
        <f t="shared" si="5"/>
        <v>0</v>
      </c>
    </row>
    <row r="79" spans="1:17" ht="15.75" thickBot="1" x14ac:dyDescent="0.3">
      <c r="A79" t="s">
        <v>57</v>
      </c>
      <c r="B79" s="116">
        <v>15</v>
      </c>
      <c r="C79" s="17"/>
      <c r="D79" s="17"/>
      <c r="E79" s="17"/>
      <c r="F79" s="17">
        <f>TRUNC(30*Q79*(1-L7)*(1-N79))</f>
        <v>0</v>
      </c>
      <c r="G79" s="17">
        <f>TRUNC(40*Q79*(1-L7)*(1-N79))</f>
        <v>0</v>
      </c>
      <c r="H79" s="17"/>
      <c r="I79" s="17"/>
      <c r="J79" s="17"/>
      <c r="K79" s="17">
        <f>TRUNC(100*Q79*(1-L7)*(1-N79))</f>
        <v>0</v>
      </c>
      <c r="L79" s="18"/>
      <c r="M79" s="127" t="s">
        <v>173</v>
      </c>
      <c r="N79" s="124">
        <v>0</v>
      </c>
      <c r="O79" s="150">
        <f t="shared" si="12"/>
        <v>0</v>
      </c>
      <c r="P79" s="145">
        <f t="shared" si="7"/>
        <v>0</v>
      </c>
      <c r="Q79" s="146">
        <f t="shared" si="5"/>
        <v>0</v>
      </c>
    </row>
    <row r="80" spans="1:17" ht="15.75" thickBot="1" x14ac:dyDescent="0.3">
      <c r="A80" s="3" t="s">
        <v>59</v>
      </c>
      <c r="B80" s="117" t="s">
        <v>166</v>
      </c>
      <c r="C80" s="91" t="s">
        <v>8</v>
      </c>
      <c r="D80" s="92" t="s">
        <v>9</v>
      </c>
      <c r="E80" s="92" t="s">
        <v>10</v>
      </c>
      <c r="F80" s="92" t="s">
        <v>137</v>
      </c>
      <c r="G80" s="92" t="s">
        <v>11</v>
      </c>
      <c r="H80" s="92" t="s">
        <v>138</v>
      </c>
      <c r="I80" s="92" t="s">
        <v>139</v>
      </c>
      <c r="J80" s="92" t="s">
        <v>12</v>
      </c>
      <c r="K80" s="92" t="s">
        <v>13</v>
      </c>
      <c r="L80" s="93" t="s">
        <v>105</v>
      </c>
      <c r="M80" s="93"/>
      <c r="N80" s="93"/>
      <c r="O80" s="151"/>
      <c r="P80" s="147"/>
      <c r="Q80" s="148"/>
    </row>
    <row r="81" spans="1:17" x14ac:dyDescent="0.25">
      <c r="A81" t="s">
        <v>60</v>
      </c>
      <c r="B81" s="115">
        <v>15</v>
      </c>
      <c r="C81" s="15"/>
      <c r="D81" s="15"/>
      <c r="E81" s="15"/>
      <c r="F81" s="15">
        <f>TRUNC(40*Q81*(1-L7)*(1-N81))</f>
        <v>0</v>
      </c>
      <c r="G81" s="15"/>
      <c r="H81" s="15">
        <f>TRUNC(120*Q81*(1-L7)*(1-N81))</f>
        <v>0</v>
      </c>
      <c r="I81" s="15">
        <f>TRUNC(TRUNC(20*Q81*(1-L7)*(1-N81)))</f>
        <v>0</v>
      </c>
      <c r="J81" s="15"/>
      <c r="K81" s="15"/>
      <c r="L81" s="16">
        <f>TRUNC(20*Q81*(1-L7)*(1-N81))</f>
        <v>0</v>
      </c>
      <c r="M81" s="127" t="s">
        <v>173</v>
      </c>
      <c r="N81" s="124">
        <v>0</v>
      </c>
      <c r="O81" s="149">
        <f>IF(E$6="Marais Noir",60000*Q81*(1-L$7)*(1-N81),30000*Q81*(1-L$7)*(1-N81))</f>
        <v>0</v>
      </c>
      <c r="P81" s="145">
        <f t="shared" si="7"/>
        <v>0</v>
      </c>
      <c r="Q81" s="146">
        <f t="shared" si="5"/>
        <v>0</v>
      </c>
    </row>
    <row r="82" spans="1:17" x14ac:dyDescent="0.25">
      <c r="A82" t="s">
        <v>61</v>
      </c>
      <c r="B82" s="116">
        <v>15</v>
      </c>
      <c r="C82" s="17">
        <f>TRUNC(30*Q82*(1-L7)*(1-N82))</f>
        <v>0</v>
      </c>
      <c r="D82" s="17"/>
      <c r="E82" s="17"/>
      <c r="F82" s="17"/>
      <c r="G82" s="17"/>
      <c r="H82" s="17"/>
      <c r="I82" s="17"/>
      <c r="J82" s="17">
        <f>TRUNC(140*Q82*(1-L7)*(1-N82))</f>
        <v>0</v>
      </c>
      <c r="K82" s="17"/>
      <c r="L82" s="18"/>
      <c r="M82" s="127" t="s">
        <v>173</v>
      </c>
      <c r="N82" s="124">
        <v>0</v>
      </c>
      <c r="O82" s="150">
        <f t="shared" ref="O82:O88" si="13">30000*Q82*(1-L$7)*(1-N82)</f>
        <v>0</v>
      </c>
      <c r="P82" s="145">
        <f t="shared" si="7"/>
        <v>0</v>
      </c>
      <c r="Q82" s="146">
        <f t="shared" si="5"/>
        <v>0</v>
      </c>
    </row>
    <row r="83" spans="1:17" x14ac:dyDescent="0.25">
      <c r="A83" t="s">
        <v>62</v>
      </c>
      <c r="B83" s="116">
        <v>15</v>
      </c>
      <c r="C83" s="17"/>
      <c r="D83" s="17"/>
      <c r="E83" s="17"/>
      <c r="F83" s="17">
        <f>TRUNC(170*Q83*(1-L7)*(1-N83))</f>
        <v>0</v>
      </c>
      <c r="G83" s="17"/>
      <c r="H83" s="17"/>
      <c r="I83" s="17"/>
      <c r="J83" s="17"/>
      <c r="K83" s="17"/>
      <c r="L83" s="18"/>
      <c r="M83" s="127" t="s">
        <v>173</v>
      </c>
      <c r="N83" s="124">
        <v>0</v>
      </c>
      <c r="O83" s="150">
        <f t="shared" si="13"/>
        <v>0</v>
      </c>
      <c r="P83" s="145">
        <f t="shared" si="7"/>
        <v>0</v>
      </c>
      <c r="Q83" s="146">
        <f t="shared" si="5"/>
        <v>0</v>
      </c>
    </row>
    <row r="84" spans="1:17" x14ac:dyDescent="0.25">
      <c r="A84" t="s">
        <v>63</v>
      </c>
      <c r="B84" s="116">
        <v>15</v>
      </c>
      <c r="C84" s="17"/>
      <c r="D84" s="17">
        <f>TRUNC(50*Q84*(1-L7)*(1-N84))</f>
        <v>0</v>
      </c>
      <c r="E84" s="17"/>
      <c r="F84" s="17">
        <f>TRUNC(100*Q84*(1-L7)*(1-N84))</f>
        <v>0</v>
      </c>
      <c r="G84" s="17"/>
      <c r="H84" s="17">
        <f>TRUNC(20*Q84*(1-L7)*(1-N84))</f>
        <v>0</v>
      </c>
      <c r="I84" s="17"/>
      <c r="J84" s="17"/>
      <c r="K84" s="17"/>
      <c r="L84" s="18"/>
      <c r="M84" s="127" t="s">
        <v>173</v>
      </c>
      <c r="N84" s="124">
        <v>0</v>
      </c>
      <c r="O84" s="150">
        <f t="shared" si="13"/>
        <v>0</v>
      </c>
      <c r="P84" s="145">
        <f t="shared" si="7"/>
        <v>0</v>
      </c>
      <c r="Q84" s="146">
        <f t="shared" si="5"/>
        <v>0</v>
      </c>
    </row>
    <row r="85" spans="1:17" x14ac:dyDescent="0.25">
      <c r="A85" t="s">
        <v>64</v>
      </c>
      <c r="B85" s="116">
        <v>15</v>
      </c>
      <c r="C85" s="17"/>
      <c r="D85" s="17"/>
      <c r="E85" s="17"/>
      <c r="F85" s="17">
        <f>TRUNC(40*Q85*(1-L7)*(1-N85))</f>
        <v>0</v>
      </c>
      <c r="G85" s="17"/>
      <c r="H85" s="17"/>
      <c r="I85" s="17"/>
      <c r="J85" s="17"/>
      <c r="K85" s="17"/>
      <c r="L85" s="18">
        <f>TRUNC(130*Q85*(1-L7)*(1-N85))</f>
        <v>0</v>
      </c>
      <c r="M85" s="127" t="s">
        <v>173</v>
      </c>
      <c r="N85" s="124">
        <v>0</v>
      </c>
      <c r="O85" s="150">
        <f t="shared" si="13"/>
        <v>0</v>
      </c>
      <c r="P85" s="145">
        <f t="shared" si="7"/>
        <v>0</v>
      </c>
      <c r="Q85" s="146">
        <f t="shared" si="5"/>
        <v>0</v>
      </c>
    </row>
    <row r="86" spans="1:17" x14ac:dyDescent="0.25">
      <c r="A86" t="s">
        <v>65</v>
      </c>
      <c r="B86" s="116">
        <v>15</v>
      </c>
      <c r="C86" s="17"/>
      <c r="D86" s="17"/>
      <c r="E86" s="17"/>
      <c r="F86" s="17"/>
      <c r="G86" s="17"/>
      <c r="H86" s="17">
        <f>TRUNC(170*Q86*(1-L7)*(1-N86))</f>
        <v>0</v>
      </c>
      <c r="I86" s="17"/>
      <c r="J86" s="17"/>
      <c r="K86" s="17"/>
      <c r="L86" s="18"/>
      <c r="M86" s="127" t="s">
        <v>173</v>
      </c>
      <c r="N86" s="124">
        <v>0</v>
      </c>
      <c r="O86" s="150">
        <f t="shared" si="13"/>
        <v>0</v>
      </c>
      <c r="P86" s="145">
        <f t="shared" si="7"/>
        <v>0</v>
      </c>
      <c r="Q86" s="146">
        <f t="shared" si="5"/>
        <v>0</v>
      </c>
    </row>
    <row r="87" spans="1:17" x14ac:dyDescent="0.25">
      <c r="A87" t="s">
        <v>66</v>
      </c>
      <c r="B87" s="116">
        <v>15</v>
      </c>
      <c r="C87" s="17"/>
      <c r="D87" s="17"/>
      <c r="E87" s="17"/>
      <c r="F87" s="17"/>
      <c r="G87" s="17"/>
      <c r="H87" s="17">
        <f>TRUNC(40*Q87*(1-L7)*(1-N87))</f>
        <v>0</v>
      </c>
      <c r="I87" s="17">
        <f>TRUNC(130*Q87*(1-L7)*(1-N87))</f>
        <v>0</v>
      </c>
      <c r="J87" s="17"/>
      <c r="K87" s="17"/>
      <c r="L87" s="18"/>
      <c r="M87" s="127" t="s">
        <v>173</v>
      </c>
      <c r="N87" s="124">
        <v>0</v>
      </c>
      <c r="O87" s="150">
        <f t="shared" si="13"/>
        <v>0</v>
      </c>
      <c r="P87" s="145">
        <f t="shared" si="7"/>
        <v>0</v>
      </c>
      <c r="Q87" s="146">
        <f t="shared" si="5"/>
        <v>0</v>
      </c>
    </row>
    <row r="88" spans="1:17" ht="15.75" thickBot="1" x14ac:dyDescent="0.3">
      <c r="A88" t="s">
        <v>67</v>
      </c>
      <c r="B88" s="116">
        <v>15</v>
      </c>
      <c r="C88" s="17"/>
      <c r="D88" s="17"/>
      <c r="E88" s="17"/>
      <c r="F88" s="17"/>
      <c r="G88" s="17"/>
      <c r="H88" s="17">
        <f>TRUNC(100*Q88*(1-L7)*(1-N88))</f>
        <v>0</v>
      </c>
      <c r="I88" s="17">
        <f>TRUNC(70*Q88*(1-L7)*(1-N88))</f>
        <v>0</v>
      </c>
      <c r="J88" s="17"/>
      <c r="K88" s="17"/>
      <c r="L88" s="18"/>
      <c r="M88" s="127" t="s">
        <v>173</v>
      </c>
      <c r="N88" s="124">
        <v>0</v>
      </c>
      <c r="O88" s="150">
        <f t="shared" si="13"/>
        <v>0</v>
      </c>
      <c r="P88" s="145">
        <f t="shared" si="7"/>
        <v>0</v>
      </c>
      <c r="Q88" s="146">
        <f t="shared" si="5"/>
        <v>0</v>
      </c>
    </row>
    <row r="89" spans="1:17" ht="15.75" thickBot="1" x14ac:dyDescent="0.3">
      <c r="A89" s="3" t="s">
        <v>68</v>
      </c>
      <c r="B89" s="117" t="s">
        <v>166</v>
      </c>
      <c r="C89" s="91" t="s">
        <v>8</v>
      </c>
      <c r="D89" s="92" t="s">
        <v>9</v>
      </c>
      <c r="E89" s="92" t="s">
        <v>10</v>
      </c>
      <c r="F89" s="92" t="s">
        <v>137</v>
      </c>
      <c r="G89" s="92" t="s">
        <v>11</v>
      </c>
      <c r="H89" s="92" t="s">
        <v>138</v>
      </c>
      <c r="I89" s="92" t="s">
        <v>139</v>
      </c>
      <c r="J89" s="92" t="s">
        <v>12</v>
      </c>
      <c r="K89" s="92" t="s">
        <v>13</v>
      </c>
      <c r="L89" s="93" t="s">
        <v>105</v>
      </c>
      <c r="M89" s="93"/>
      <c r="N89" s="93"/>
      <c r="O89" s="151"/>
      <c r="P89" s="147"/>
      <c r="Q89" s="148"/>
    </row>
    <row r="90" spans="1:17" x14ac:dyDescent="0.25">
      <c r="A90" t="s">
        <v>69</v>
      </c>
      <c r="B90" s="115">
        <v>15</v>
      </c>
      <c r="C90" s="15"/>
      <c r="D90" s="15"/>
      <c r="E90" s="15">
        <f>TRUNC(20*Q90*(1-L7)*(1-N90))</f>
        <v>0</v>
      </c>
      <c r="F90" s="15"/>
      <c r="G90" s="15">
        <f>TRUNC(20*Q90*(1-L7)*(1-N90))</f>
        <v>0</v>
      </c>
      <c r="H90" s="15">
        <f>TRUNC(90*Q90*(1-L7)*(1-N90))</f>
        <v>0</v>
      </c>
      <c r="I90" s="15"/>
      <c r="J90" s="15">
        <f>TRUNC(20*Q90*(1-L7)*(1-N90))</f>
        <v>0</v>
      </c>
      <c r="K90" s="15"/>
      <c r="L90" s="16">
        <f>TRUNC(60*Q90*(1-L7)*(1-N90))</f>
        <v>0</v>
      </c>
      <c r="M90" s="127" t="s">
        <v>173</v>
      </c>
      <c r="N90" s="124">
        <v>0</v>
      </c>
      <c r="O90" s="149">
        <f>IF(E$6="Morrowind",60000*Q90*(1-L$7)*(1-N90),30000*Q90*(1-L$7)*(1-N90))</f>
        <v>0</v>
      </c>
      <c r="P90" s="145">
        <f t="shared" si="7"/>
        <v>0</v>
      </c>
      <c r="Q90" s="146">
        <f t="shared" si="5"/>
        <v>0</v>
      </c>
    </row>
    <row r="91" spans="1:17" x14ac:dyDescent="0.25">
      <c r="A91" t="s">
        <v>70</v>
      </c>
      <c r="B91" s="116">
        <v>15</v>
      </c>
      <c r="C91" s="17"/>
      <c r="D91" s="17"/>
      <c r="E91" s="17"/>
      <c r="F91" s="17"/>
      <c r="G91" s="17">
        <f>TRUNC(170*Q91*(1-L7)*(1-N91))</f>
        <v>0</v>
      </c>
      <c r="H91" s="17"/>
      <c r="I91" s="17"/>
      <c r="J91" s="17"/>
      <c r="K91" s="17"/>
      <c r="L91" s="18"/>
      <c r="M91" s="127" t="s">
        <v>173</v>
      </c>
      <c r="N91" s="124">
        <v>0</v>
      </c>
      <c r="O91" s="150">
        <f t="shared" ref="O91:O97" si="14">30000*Q91*(1-L$7)*(1-N91)</f>
        <v>0</v>
      </c>
      <c r="P91" s="145">
        <f t="shared" si="7"/>
        <v>0</v>
      </c>
      <c r="Q91" s="146">
        <f t="shared" si="5"/>
        <v>0</v>
      </c>
    </row>
    <row r="92" spans="1:17" x14ac:dyDescent="0.25">
      <c r="A92" t="s">
        <v>71</v>
      </c>
      <c r="B92" s="116">
        <v>15</v>
      </c>
      <c r="C92" s="17">
        <f>TRUNC(70*Q92*(1-L7)*(1-N92))</f>
        <v>0</v>
      </c>
      <c r="D92" s="17"/>
      <c r="E92" s="17"/>
      <c r="F92" s="17"/>
      <c r="G92" s="17"/>
      <c r="H92" s="17"/>
      <c r="I92" s="17"/>
      <c r="J92" s="17"/>
      <c r="K92" s="17"/>
      <c r="L92" s="18">
        <f>TRUNC(100*Q92*(1-L7)*(1-N92))</f>
        <v>0</v>
      </c>
      <c r="M92" s="127" t="s">
        <v>173</v>
      </c>
      <c r="N92" s="124">
        <v>0</v>
      </c>
      <c r="O92" s="150">
        <f t="shared" si="14"/>
        <v>0</v>
      </c>
      <c r="P92" s="145">
        <f t="shared" si="7"/>
        <v>0</v>
      </c>
      <c r="Q92" s="146">
        <f t="shared" ref="Q92:Q111" si="15">IF(M92="Possédée",1,IF(M92="Assiégée",0.5,0))</f>
        <v>0</v>
      </c>
    </row>
    <row r="93" spans="1:17" x14ac:dyDescent="0.25">
      <c r="A93" t="s">
        <v>72</v>
      </c>
      <c r="B93" s="116">
        <v>15</v>
      </c>
      <c r="C93" s="17"/>
      <c r="D93" s="17"/>
      <c r="E93" s="17">
        <f>TRUNC(60*Q93*(1-L7)*(1-N93))</f>
        <v>0</v>
      </c>
      <c r="F93" s="17"/>
      <c r="G93" s="17"/>
      <c r="H93" s="17"/>
      <c r="I93" s="17"/>
      <c r="J93" s="17"/>
      <c r="K93" s="17">
        <f>TRUNC(110*Q93*(1-L7)*(1-N93))</f>
        <v>0</v>
      </c>
      <c r="L93" s="18"/>
      <c r="M93" s="127" t="s">
        <v>173</v>
      </c>
      <c r="N93" s="124">
        <v>0</v>
      </c>
      <c r="O93" s="150">
        <f t="shared" si="14"/>
        <v>0</v>
      </c>
      <c r="P93" s="145">
        <f t="shared" ref="P93:P118" si="16">IF(OR(M93="Possédée",M93="Assiégée"),B93,0)</f>
        <v>0</v>
      </c>
      <c r="Q93" s="146">
        <f t="shared" si="15"/>
        <v>0</v>
      </c>
    </row>
    <row r="94" spans="1:17" x14ac:dyDescent="0.25">
      <c r="A94" t="s">
        <v>73</v>
      </c>
      <c r="B94" s="116">
        <v>15</v>
      </c>
      <c r="C94" s="17"/>
      <c r="D94" s="17"/>
      <c r="E94" s="17"/>
      <c r="F94" s="17"/>
      <c r="G94" s="17">
        <f>TRUNC(100*Q94*(1-L7)*(1-N94))</f>
        <v>0</v>
      </c>
      <c r="H94" s="17">
        <f>TRUNC(50*Q94*(1-L7)*(1-N94))</f>
        <v>0</v>
      </c>
      <c r="I94" s="17"/>
      <c r="J94" s="17"/>
      <c r="K94" s="17"/>
      <c r="L94" s="18">
        <f>TRUNC(20*Q94*(1-L7)*(1-N94))</f>
        <v>0</v>
      </c>
      <c r="M94" s="127" t="s">
        <v>173</v>
      </c>
      <c r="N94" s="124">
        <v>0</v>
      </c>
      <c r="O94" s="150">
        <f t="shared" si="14"/>
        <v>0</v>
      </c>
      <c r="P94" s="145">
        <f t="shared" si="16"/>
        <v>0</v>
      </c>
      <c r="Q94" s="146">
        <f t="shared" si="15"/>
        <v>0</v>
      </c>
    </row>
    <row r="95" spans="1:17" x14ac:dyDescent="0.25">
      <c r="A95" t="s">
        <v>74</v>
      </c>
      <c r="B95" s="116">
        <v>15</v>
      </c>
      <c r="C95" s="17"/>
      <c r="D95" s="17"/>
      <c r="E95" s="17">
        <f>TRUNC(100*Q95*(1-L7)*(1-N95))</f>
        <v>0</v>
      </c>
      <c r="F95" s="17"/>
      <c r="G95" s="17">
        <f>TRUNC(70*Q95*(1-L7)*(1-N95))</f>
        <v>0</v>
      </c>
      <c r="H95" s="17"/>
      <c r="I95" s="17"/>
      <c r="J95" s="17"/>
      <c r="K95" s="17"/>
      <c r="L95" s="18"/>
      <c r="M95" s="127" t="s">
        <v>173</v>
      </c>
      <c r="N95" s="124">
        <v>0</v>
      </c>
      <c r="O95" s="150">
        <f t="shared" si="14"/>
        <v>0</v>
      </c>
      <c r="P95" s="145">
        <f t="shared" si="16"/>
        <v>0</v>
      </c>
      <c r="Q95" s="146">
        <f t="shared" si="15"/>
        <v>0</v>
      </c>
    </row>
    <row r="96" spans="1:17" x14ac:dyDescent="0.25">
      <c r="A96" t="s">
        <v>75</v>
      </c>
      <c r="B96" s="116">
        <v>15</v>
      </c>
      <c r="C96" s="17"/>
      <c r="D96" s="17"/>
      <c r="E96" s="17">
        <f>TRUNC(120*Q96*(1-L7)*(1-N96))</f>
        <v>0</v>
      </c>
      <c r="F96" s="17"/>
      <c r="G96" s="17"/>
      <c r="H96" s="17"/>
      <c r="I96" s="17"/>
      <c r="J96" s="17"/>
      <c r="K96" s="17">
        <f>TRUNC(50*Q96*(1-L7)*(1-N96))</f>
        <v>0</v>
      </c>
      <c r="L96" s="18"/>
      <c r="M96" s="127" t="s">
        <v>173</v>
      </c>
      <c r="N96" s="124">
        <v>0</v>
      </c>
      <c r="O96" s="150">
        <f t="shared" si="14"/>
        <v>0</v>
      </c>
      <c r="P96" s="145">
        <f t="shared" si="16"/>
        <v>0</v>
      </c>
      <c r="Q96" s="146">
        <f t="shared" si="15"/>
        <v>0</v>
      </c>
    </row>
    <row r="97" spans="1:17" ht="15.75" thickBot="1" x14ac:dyDescent="0.3">
      <c r="A97" t="s">
        <v>76</v>
      </c>
      <c r="B97" s="116">
        <v>15</v>
      </c>
      <c r="C97" s="17"/>
      <c r="D97" s="17"/>
      <c r="E97" s="17">
        <f>TRUNC(170*Q97*(1-L7)*(1-N97))</f>
        <v>0</v>
      </c>
      <c r="F97" s="17"/>
      <c r="G97" s="17"/>
      <c r="H97" s="17"/>
      <c r="I97" s="17"/>
      <c r="J97" s="17"/>
      <c r="K97" s="17"/>
      <c r="L97" s="18"/>
      <c r="M97" s="127" t="s">
        <v>173</v>
      </c>
      <c r="N97" s="124">
        <v>0</v>
      </c>
      <c r="O97" s="150">
        <f t="shared" si="14"/>
        <v>0</v>
      </c>
      <c r="P97" s="145">
        <f t="shared" si="16"/>
        <v>0</v>
      </c>
      <c r="Q97" s="146">
        <f t="shared" si="15"/>
        <v>0</v>
      </c>
    </row>
    <row r="98" spans="1:17" ht="15.75" thickBot="1" x14ac:dyDescent="0.3">
      <c r="A98" s="3" t="s">
        <v>77</v>
      </c>
      <c r="B98" s="117" t="s">
        <v>166</v>
      </c>
      <c r="C98" s="91" t="s">
        <v>8</v>
      </c>
      <c r="D98" s="92" t="s">
        <v>9</v>
      </c>
      <c r="E98" s="92" t="s">
        <v>10</v>
      </c>
      <c r="F98" s="92" t="s">
        <v>137</v>
      </c>
      <c r="G98" s="92" t="s">
        <v>11</v>
      </c>
      <c r="H98" s="92" t="s">
        <v>138</v>
      </c>
      <c r="I98" s="92" t="s">
        <v>139</v>
      </c>
      <c r="J98" s="92" t="s">
        <v>12</v>
      </c>
      <c r="K98" s="92" t="s">
        <v>13</v>
      </c>
      <c r="L98" s="93" t="s">
        <v>105</v>
      </c>
      <c r="M98" s="93"/>
      <c r="N98" s="93"/>
      <c r="O98" s="151"/>
      <c r="P98" s="147"/>
      <c r="Q98" s="148"/>
    </row>
    <row r="99" spans="1:17" x14ac:dyDescent="0.25">
      <c r="A99" t="s">
        <v>78</v>
      </c>
      <c r="B99" s="115">
        <v>15</v>
      </c>
      <c r="C99" s="15"/>
      <c r="D99" s="15"/>
      <c r="E99" s="15"/>
      <c r="F99" s="15"/>
      <c r="G99" s="15">
        <f>TRUNC(30*Q99*(1-L7)*(1-N99))</f>
        <v>0</v>
      </c>
      <c r="H99" s="15">
        <f>TRUNC(40*Q99*(1-L7)*(1-N99))</f>
        <v>0</v>
      </c>
      <c r="I99" s="15">
        <f>TRUNC(140*Q99*(1-L7)*(1-N99))</f>
        <v>0</v>
      </c>
      <c r="J99" s="15"/>
      <c r="K99" s="15"/>
      <c r="L99" s="16"/>
      <c r="M99" s="127" t="s">
        <v>173</v>
      </c>
      <c r="N99" s="124">
        <v>0</v>
      </c>
      <c r="O99" s="149">
        <f>IF(E$6="Val-Boisé",60000*Q99*(1-L$7)*(1-N99),30000*Q99*(1-L$7)*(1-N99))</f>
        <v>0</v>
      </c>
      <c r="P99" s="145">
        <f t="shared" si="16"/>
        <v>0</v>
      </c>
      <c r="Q99" s="146">
        <f t="shared" si="15"/>
        <v>0</v>
      </c>
    </row>
    <row r="100" spans="1:17" x14ac:dyDescent="0.25">
      <c r="A100" t="s">
        <v>79</v>
      </c>
      <c r="B100" s="116">
        <v>15</v>
      </c>
      <c r="C100" s="17"/>
      <c r="D100" s="17"/>
      <c r="E100" s="17"/>
      <c r="F100" s="17"/>
      <c r="G100" s="17"/>
      <c r="H100" s="17"/>
      <c r="I100" s="17">
        <f>TRUNC(50*Q100*(1-L7)*(1-N100))</f>
        <v>0</v>
      </c>
      <c r="J100" s="17">
        <f>TRUNC(120*Q100*(1-L7)*(1-N100))</f>
        <v>0</v>
      </c>
      <c r="K100" s="17"/>
      <c r="L100" s="18"/>
      <c r="M100" s="127" t="s">
        <v>173</v>
      </c>
      <c r="N100" s="124">
        <v>0</v>
      </c>
      <c r="O100" s="150">
        <f t="shared" ref="O100:O106" si="17">30000*Q100*(1-L$7)*(1-N100)</f>
        <v>0</v>
      </c>
      <c r="P100" s="145">
        <f t="shared" si="16"/>
        <v>0</v>
      </c>
      <c r="Q100" s="146">
        <f t="shared" si="15"/>
        <v>0</v>
      </c>
    </row>
    <row r="101" spans="1:17" x14ac:dyDescent="0.25">
      <c r="A101" t="s">
        <v>80</v>
      </c>
      <c r="B101" s="116">
        <v>15</v>
      </c>
      <c r="C101" s="17"/>
      <c r="D101" s="17"/>
      <c r="E101" s="17"/>
      <c r="F101" s="17">
        <f>TRUNC(70*Q101*(1-L7)*(1-N101))</f>
        <v>0</v>
      </c>
      <c r="G101" s="17">
        <f>TRUNC(40*Q101*(1-L7)*(1-N101))</f>
        <v>0</v>
      </c>
      <c r="H101" s="17"/>
      <c r="I101" s="17"/>
      <c r="J101" s="17"/>
      <c r="K101" s="17">
        <f>TRUNC(20*Q101*(1-L7)*(1-N101))</f>
        <v>0</v>
      </c>
      <c r="L101" s="18">
        <f>TRUNC(40*Q101*(1-L7)*(1-N101))</f>
        <v>0</v>
      </c>
      <c r="M101" s="127" t="s">
        <v>173</v>
      </c>
      <c r="N101" s="124">
        <v>0</v>
      </c>
      <c r="O101" s="150">
        <f t="shared" si="17"/>
        <v>0</v>
      </c>
      <c r="P101" s="145">
        <f t="shared" si="16"/>
        <v>0</v>
      </c>
      <c r="Q101" s="146">
        <f t="shared" si="15"/>
        <v>0</v>
      </c>
    </row>
    <row r="102" spans="1:17" x14ac:dyDescent="0.25">
      <c r="A102" t="s">
        <v>81</v>
      </c>
      <c r="B102" s="116">
        <v>15</v>
      </c>
      <c r="C102" s="17"/>
      <c r="D102" s="17"/>
      <c r="E102" s="17"/>
      <c r="F102" s="17"/>
      <c r="G102" s="17"/>
      <c r="H102" s="17"/>
      <c r="I102" s="17">
        <f>TRUNC(170*Q102*(1-L7)*(1-N102))</f>
        <v>0</v>
      </c>
      <c r="J102" s="17"/>
      <c r="K102" s="17"/>
      <c r="L102" s="18"/>
      <c r="M102" s="127" t="s">
        <v>173</v>
      </c>
      <c r="N102" s="124">
        <v>0</v>
      </c>
      <c r="O102" s="150">
        <f t="shared" si="17"/>
        <v>0</v>
      </c>
      <c r="P102" s="145">
        <f t="shared" si="16"/>
        <v>0</v>
      </c>
      <c r="Q102" s="146">
        <f t="shared" si="15"/>
        <v>0</v>
      </c>
    </row>
    <row r="103" spans="1:17" x14ac:dyDescent="0.25">
      <c r="A103" t="s">
        <v>82</v>
      </c>
      <c r="B103" s="116">
        <v>15</v>
      </c>
      <c r="C103" s="17">
        <f>TRUNC(100*Q103*(1-L7)*(1-N103))</f>
        <v>0</v>
      </c>
      <c r="D103" s="17"/>
      <c r="E103" s="17"/>
      <c r="F103" s="17"/>
      <c r="G103" s="17"/>
      <c r="H103" s="17"/>
      <c r="I103" s="17"/>
      <c r="J103" s="17">
        <f>TRUNC(70*Q103*(1-L7)*(1-N103))</f>
        <v>0</v>
      </c>
      <c r="K103" s="17"/>
      <c r="L103" s="18"/>
      <c r="M103" s="127" t="s">
        <v>173</v>
      </c>
      <c r="N103" s="124">
        <v>0</v>
      </c>
      <c r="O103" s="150">
        <f t="shared" si="17"/>
        <v>0</v>
      </c>
      <c r="P103" s="145">
        <f t="shared" si="16"/>
        <v>0</v>
      </c>
      <c r="Q103" s="146">
        <f t="shared" si="15"/>
        <v>0</v>
      </c>
    </row>
    <row r="104" spans="1:17" x14ac:dyDescent="0.25">
      <c r="A104" t="s">
        <v>83</v>
      </c>
      <c r="B104" s="116">
        <v>15</v>
      </c>
      <c r="C104" s="17">
        <f>TRUNC(170*Q104*(1-L7)*(1-N104))</f>
        <v>0</v>
      </c>
      <c r="D104" s="17"/>
      <c r="E104" s="17"/>
      <c r="F104" s="17"/>
      <c r="G104" s="17"/>
      <c r="H104" s="17"/>
      <c r="I104" s="17"/>
      <c r="J104" s="17"/>
      <c r="K104" s="17"/>
      <c r="L104" s="18"/>
      <c r="M104" s="127" t="s">
        <v>173</v>
      </c>
      <c r="N104" s="124">
        <v>0</v>
      </c>
      <c r="O104" s="150">
        <f t="shared" si="17"/>
        <v>0</v>
      </c>
      <c r="P104" s="145">
        <f t="shared" si="16"/>
        <v>0</v>
      </c>
      <c r="Q104" s="146">
        <f t="shared" si="15"/>
        <v>0</v>
      </c>
    </row>
    <row r="105" spans="1:17" x14ac:dyDescent="0.25">
      <c r="A105" t="s">
        <v>84</v>
      </c>
      <c r="B105" s="116">
        <v>15</v>
      </c>
      <c r="C105" s="17"/>
      <c r="D105" s="17"/>
      <c r="E105" s="17"/>
      <c r="F105" s="17"/>
      <c r="G105" s="17"/>
      <c r="H105" s="17">
        <f>TRUNC(170*Q105*(1-L7)*(1-N105))</f>
        <v>0</v>
      </c>
      <c r="I105" s="17"/>
      <c r="J105" s="17"/>
      <c r="K105" s="17"/>
      <c r="L105" s="18"/>
      <c r="M105" s="127" t="s">
        <v>173</v>
      </c>
      <c r="N105" s="124">
        <v>0</v>
      </c>
      <c r="O105" s="150">
        <f t="shared" si="17"/>
        <v>0</v>
      </c>
      <c r="P105" s="145">
        <f t="shared" si="16"/>
        <v>0</v>
      </c>
      <c r="Q105" s="146">
        <f t="shared" si="15"/>
        <v>0</v>
      </c>
    </row>
    <row r="106" spans="1:17" ht="15.75" thickBot="1" x14ac:dyDescent="0.3">
      <c r="A106" t="s">
        <v>85</v>
      </c>
      <c r="B106" s="116">
        <v>15</v>
      </c>
      <c r="C106" s="17">
        <f>TRUNC(60*Q106*(1-L7)*(1-N106))</f>
        <v>0</v>
      </c>
      <c r="D106" s="17"/>
      <c r="E106" s="17"/>
      <c r="F106" s="17"/>
      <c r="G106" s="17"/>
      <c r="H106" s="17"/>
      <c r="I106" s="17">
        <f>TRUNC(110*Q106*(1-L7)*(1-N106))</f>
        <v>0</v>
      </c>
      <c r="J106" s="17"/>
      <c r="K106" s="17"/>
      <c r="L106" s="18"/>
      <c r="M106" s="127" t="s">
        <v>173</v>
      </c>
      <c r="N106" s="124">
        <v>0</v>
      </c>
      <c r="O106" s="150">
        <f t="shared" si="17"/>
        <v>0</v>
      </c>
      <c r="P106" s="145">
        <f t="shared" si="16"/>
        <v>0</v>
      </c>
      <c r="Q106" s="146">
        <f t="shared" si="15"/>
        <v>0</v>
      </c>
    </row>
    <row r="107" spans="1:17" ht="15.75" thickBot="1" x14ac:dyDescent="0.3">
      <c r="A107" s="3" t="s">
        <v>86</v>
      </c>
      <c r="B107" s="117" t="s">
        <v>166</v>
      </c>
      <c r="C107" s="91" t="s">
        <v>8</v>
      </c>
      <c r="D107" s="92" t="s">
        <v>9</v>
      </c>
      <c r="E107" s="92" t="s">
        <v>10</v>
      </c>
      <c r="F107" s="92" t="s">
        <v>137</v>
      </c>
      <c r="G107" s="92" t="s">
        <v>11</v>
      </c>
      <c r="H107" s="92" t="s">
        <v>138</v>
      </c>
      <c r="I107" s="92" t="s">
        <v>139</v>
      </c>
      <c r="J107" s="92" t="s">
        <v>12</v>
      </c>
      <c r="K107" s="92" t="s">
        <v>13</v>
      </c>
      <c r="L107" s="93" t="s">
        <v>105</v>
      </c>
      <c r="M107" s="93"/>
      <c r="N107" s="93"/>
      <c r="O107" s="151"/>
      <c r="P107" s="147"/>
      <c r="Q107" s="148"/>
    </row>
    <row r="108" spans="1:17" x14ac:dyDescent="0.25">
      <c r="A108" t="s">
        <v>89</v>
      </c>
      <c r="B108" s="115">
        <v>15</v>
      </c>
      <c r="C108" s="15"/>
      <c r="D108" s="15"/>
      <c r="E108" s="15">
        <f>TRUNC(90*Q108*(1-L7)*(1-N108))</f>
        <v>0</v>
      </c>
      <c r="F108" s="15"/>
      <c r="G108" s="15"/>
      <c r="H108" s="15"/>
      <c r="I108" s="15"/>
      <c r="J108" s="15"/>
      <c r="K108" s="15">
        <f>TRUNC(120*Q108*(1-L7)*(1-N108))</f>
        <v>0</v>
      </c>
      <c r="L108" s="16"/>
      <c r="M108" s="127" t="s">
        <v>173</v>
      </c>
      <c r="N108" s="124">
        <v>0</v>
      </c>
      <c r="O108" s="149">
        <f>IF(E$6="Solstheim",60000*Q108*(1-L$7)*(1-N108),30000*Q108*(1-L$7)*(1-N108))</f>
        <v>0</v>
      </c>
      <c r="P108" s="145">
        <f t="shared" si="16"/>
        <v>0</v>
      </c>
      <c r="Q108" s="146">
        <f t="shared" si="15"/>
        <v>0</v>
      </c>
    </row>
    <row r="109" spans="1:17" x14ac:dyDescent="0.25">
      <c r="A109" t="s">
        <v>88</v>
      </c>
      <c r="B109" s="116">
        <v>15</v>
      </c>
      <c r="C109" s="17"/>
      <c r="D109" s="17"/>
      <c r="E109" s="17">
        <f>TRUNC(80*Q109*(1-L7)*(1-N109))</f>
        <v>0</v>
      </c>
      <c r="F109" s="17"/>
      <c r="G109" s="17">
        <f>TRUNC(20*Q109*(1-L7)*(1-N109))</f>
        <v>0</v>
      </c>
      <c r="H109" s="17"/>
      <c r="I109" s="17"/>
      <c r="J109" s="17"/>
      <c r="K109" s="17">
        <f>TRUNC(70*Q109*(1-L7)*(1-N109))</f>
        <v>0</v>
      </c>
      <c r="L109" s="18"/>
      <c r="M109" s="127" t="s">
        <v>173</v>
      </c>
      <c r="N109" s="124">
        <v>0</v>
      </c>
      <c r="O109" s="150">
        <f t="shared" ref="O109:O110" si="18">30000*Q109*(1-L$7)*(1-N109)</f>
        <v>0</v>
      </c>
      <c r="P109" s="145">
        <f t="shared" si="16"/>
        <v>0</v>
      </c>
      <c r="Q109" s="146">
        <f t="shared" si="15"/>
        <v>0</v>
      </c>
    </row>
    <row r="110" spans="1:17" ht="15.75" thickBot="1" x14ac:dyDescent="0.3">
      <c r="A110" s="39" t="s">
        <v>87</v>
      </c>
      <c r="B110" s="116">
        <v>15</v>
      </c>
      <c r="C110" s="19"/>
      <c r="D110" s="17">
        <f>TRUNC(90*Q110*(1-L7)*(1-N110))</f>
        <v>0</v>
      </c>
      <c r="E110" s="17"/>
      <c r="F110" s="17"/>
      <c r="G110" s="17">
        <f>TRUNC(30*Q110*(1-L7)*(1-N110))</f>
        <v>0</v>
      </c>
      <c r="H110" s="17"/>
      <c r="I110" s="17"/>
      <c r="J110" s="17"/>
      <c r="K110" s="17">
        <f>TRUNC(50*Q110*(1-L7)*(1-N110))</f>
        <v>0</v>
      </c>
      <c r="L110" s="18"/>
      <c r="M110" s="127" t="s">
        <v>173</v>
      </c>
      <c r="N110" s="124">
        <v>0</v>
      </c>
      <c r="O110" s="150">
        <f t="shared" si="18"/>
        <v>0</v>
      </c>
      <c r="P110" s="145">
        <f t="shared" si="16"/>
        <v>0</v>
      </c>
      <c r="Q110" s="146">
        <f t="shared" si="15"/>
        <v>0</v>
      </c>
    </row>
    <row r="111" spans="1:17" ht="15.75" thickBot="1" x14ac:dyDescent="0.3">
      <c r="A111" s="3" t="s">
        <v>140</v>
      </c>
      <c r="B111" s="119">
        <v>15</v>
      </c>
      <c r="C111" s="113"/>
      <c r="D111" s="89"/>
      <c r="E111" s="89">
        <f>TRUNC(70*Q111*(1-L7)*(1-N111))</f>
        <v>0</v>
      </c>
      <c r="F111" s="89"/>
      <c r="G111" s="89">
        <f>TRUNC(40*Q111*(1-L7)*(1-N111))</f>
        <v>0</v>
      </c>
      <c r="H111" s="89"/>
      <c r="I111" s="89"/>
      <c r="J111" s="89"/>
      <c r="K111" s="89">
        <f>TRUNC(100*Q111*(1-L7)*(1-N111))</f>
        <v>0</v>
      </c>
      <c r="L111" s="90"/>
      <c r="M111" s="127" t="s">
        <v>173</v>
      </c>
      <c r="N111" s="124">
        <v>0</v>
      </c>
      <c r="O111" s="150">
        <f>IF(E$6="Orsinium",60000*Q111*(1-L$7)*(1-N111),30000*Q111*(1-L$7)*(1-N111))</f>
        <v>0</v>
      </c>
      <c r="P111" s="145">
        <f t="shared" si="16"/>
        <v>0</v>
      </c>
      <c r="Q111" s="146">
        <f t="shared" si="15"/>
        <v>0</v>
      </c>
    </row>
    <row r="112" spans="1:17" ht="15.75" thickBot="1" x14ac:dyDescent="0.3">
      <c r="A112" s="3" t="s">
        <v>215</v>
      </c>
      <c r="B112" s="117" t="s">
        <v>166</v>
      </c>
      <c r="C112" s="91" t="s">
        <v>8</v>
      </c>
      <c r="D112" s="92" t="s">
        <v>9</v>
      </c>
      <c r="E112" s="92" t="s">
        <v>10</v>
      </c>
      <c r="F112" s="92" t="s">
        <v>137</v>
      </c>
      <c r="G112" s="92" t="s">
        <v>11</v>
      </c>
      <c r="H112" s="92" t="s">
        <v>138</v>
      </c>
      <c r="I112" s="92" t="s">
        <v>139</v>
      </c>
      <c r="J112" s="92" t="s">
        <v>12</v>
      </c>
      <c r="K112" s="92" t="s">
        <v>13</v>
      </c>
      <c r="L112" s="93" t="s">
        <v>105</v>
      </c>
      <c r="M112" s="93"/>
      <c r="N112" s="93"/>
      <c r="O112" s="151"/>
      <c r="P112" s="147"/>
      <c r="Q112" s="148"/>
    </row>
    <row r="113" spans="1:17" x14ac:dyDescent="0.25">
      <c r="A113" t="s">
        <v>142</v>
      </c>
      <c r="B113" s="115">
        <v>0</v>
      </c>
      <c r="C113" s="15"/>
      <c r="D113" s="15"/>
      <c r="E113" s="15">
        <f>TRUNC(10*Q113*(1-N113))</f>
        <v>0</v>
      </c>
      <c r="F113" s="15"/>
      <c r="G113" s="15"/>
      <c r="H113" s="15">
        <f>TRUNC(10*Q113*(1-N113))</f>
        <v>0</v>
      </c>
      <c r="I113" s="15"/>
      <c r="J113" s="15">
        <f>TRUNC(10*Q113*(1-N113))</f>
        <v>0</v>
      </c>
      <c r="K113" s="15"/>
      <c r="L113" s="16"/>
      <c r="M113" s="127" t="s">
        <v>173</v>
      </c>
      <c r="N113" s="124">
        <v>0</v>
      </c>
      <c r="O113" s="149">
        <f>IF(E$6="Strik",40000*Q113*(1-L$7)*(1-N113),0)</f>
        <v>0</v>
      </c>
      <c r="P113" s="145">
        <f t="shared" si="16"/>
        <v>0</v>
      </c>
      <c r="Q113" s="146">
        <f>IF(E$6=A113,IF(M113="Possédée",1,IF(M113="Assiégée",0.5,0)),0)</f>
        <v>0</v>
      </c>
    </row>
    <row r="114" spans="1:17" x14ac:dyDescent="0.25">
      <c r="A114" t="s">
        <v>143</v>
      </c>
      <c r="B114" s="116">
        <v>0</v>
      </c>
      <c r="C114" s="17"/>
      <c r="D114" s="17"/>
      <c r="E114" s="17">
        <f>TRUNC(10*Q114*(1-N114))</f>
        <v>0</v>
      </c>
      <c r="F114" s="17"/>
      <c r="G114" s="17"/>
      <c r="H114" s="17">
        <f>TRUNC(10*Q114*(1-N114))</f>
        <v>0</v>
      </c>
      <c r="I114" s="17"/>
      <c r="J114" s="17">
        <f>TRUNC(10*Q114*(1-N114))</f>
        <v>0</v>
      </c>
      <c r="K114" s="17"/>
      <c r="L114" s="18"/>
      <c r="M114" s="127" t="s">
        <v>173</v>
      </c>
      <c r="N114" s="124">
        <v>0</v>
      </c>
      <c r="O114" s="150">
        <f>IF(E$6="Stros M'Kai",40000*Q114*(1-L$7)*(1-N114),0)</f>
        <v>0</v>
      </c>
      <c r="P114" s="145">
        <f t="shared" si="16"/>
        <v>0</v>
      </c>
      <c r="Q114" s="146">
        <f t="shared" ref="Q114:Q117" si="19">IF(E$6=A114,IF(M114="Possédée",1,IF(M114="Assiégée",0.5,0)),0)</f>
        <v>0</v>
      </c>
    </row>
    <row r="115" spans="1:17" x14ac:dyDescent="0.25">
      <c r="A115" t="s">
        <v>144</v>
      </c>
      <c r="B115" s="116">
        <v>0</v>
      </c>
      <c r="C115" s="17"/>
      <c r="D115" s="17"/>
      <c r="E115" s="17">
        <f t="shared" ref="E115:E117" si="20">TRUNC(10*Q115*(1-N115))</f>
        <v>0</v>
      </c>
      <c r="F115" s="17"/>
      <c r="G115" s="17"/>
      <c r="H115" s="17">
        <f t="shared" ref="H115:H118" si="21">TRUNC(10*Q115*(1-N115))</f>
        <v>0</v>
      </c>
      <c r="I115" s="17"/>
      <c r="J115" s="17">
        <f t="shared" ref="J115:J118" si="22">TRUNC(10*Q115*(1-N115))</f>
        <v>0</v>
      </c>
      <c r="K115" s="17"/>
      <c r="L115" s="18"/>
      <c r="M115" s="127" t="s">
        <v>173</v>
      </c>
      <c r="N115" s="124">
        <v>0</v>
      </c>
      <c r="O115" s="150">
        <f>IF(E$6="Vivec",40000*Q115*(1-L$7)*(1-N115),0)</f>
        <v>0</v>
      </c>
      <c r="P115" s="145">
        <f t="shared" si="16"/>
        <v>0</v>
      </c>
      <c r="Q115" s="146">
        <f t="shared" si="19"/>
        <v>0</v>
      </c>
    </row>
    <row r="116" spans="1:17" x14ac:dyDescent="0.25">
      <c r="A116" t="s">
        <v>145</v>
      </c>
      <c r="B116" s="116">
        <v>0</v>
      </c>
      <c r="C116" s="17"/>
      <c r="D116" s="17"/>
      <c r="E116" s="17">
        <f t="shared" si="20"/>
        <v>0</v>
      </c>
      <c r="F116" s="17"/>
      <c r="G116" s="17"/>
      <c r="H116" s="17">
        <f t="shared" si="21"/>
        <v>0</v>
      </c>
      <c r="I116" s="17"/>
      <c r="J116" s="17">
        <f t="shared" si="22"/>
        <v>0</v>
      </c>
      <c r="K116" s="17"/>
      <c r="L116" s="18"/>
      <c r="M116" s="127" t="s">
        <v>173</v>
      </c>
      <c r="N116" s="124">
        <v>0</v>
      </c>
      <c r="O116" s="150">
        <f>IF(E$6="Sadrith Mora",40000*Q116*(1-L$7)*(1-N116),0)</f>
        <v>0</v>
      </c>
      <c r="P116" s="145">
        <f t="shared" si="16"/>
        <v>0</v>
      </c>
      <c r="Q116" s="146">
        <f t="shared" si="19"/>
        <v>0</v>
      </c>
    </row>
    <row r="117" spans="1:17" x14ac:dyDescent="0.25">
      <c r="A117" t="s">
        <v>146</v>
      </c>
      <c r="B117" s="116">
        <v>0</v>
      </c>
      <c r="C117" s="17"/>
      <c r="D117" s="17"/>
      <c r="E117" s="17">
        <f t="shared" si="20"/>
        <v>10</v>
      </c>
      <c r="F117" s="17"/>
      <c r="G117" s="17"/>
      <c r="H117" s="17">
        <f t="shared" si="21"/>
        <v>10</v>
      </c>
      <c r="I117" s="17"/>
      <c r="J117" s="17">
        <f t="shared" si="22"/>
        <v>10</v>
      </c>
      <c r="K117" s="17"/>
      <c r="L117" s="18"/>
      <c r="M117" s="127" t="s">
        <v>174</v>
      </c>
      <c r="N117" s="124">
        <v>0</v>
      </c>
      <c r="O117" s="150">
        <f>IF(E$6="Dagon Fel",40000*Q117*(1-L$7)*(1-N117),0)</f>
        <v>40000</v>
      </c>
      <c r="P117" s="145">
        <f t="shared" si="16"/>
        <v>0</v>
      </c>
      <c r="Q117" s="146">
        <f t="shared" si="19"/>
        <v>1</v>
      </c>
    </row>
    <row r="118" spans="1:17" ht="15.75" thickBot="1" x14ac:dyDescent="0.3">
      <c r="A118" s="40" t="s">
        <v>147</v>
      </c>
      <c r="B118" s="118">
        <v>0</v>
      </c>
      <c r="C118" s="21"/>
      <c r="D118" s="21"/>
      <c r="E118" s="17">
        <f>TRUNC(10*Q118*(1-N118))</f>
        <v>0</v>
      </c>
      <c r="F118" s="21"/>
      <c r="G118" s="21"/>
      <c r="H118" s="17">
        <f t="shared" si="21"/>
        <v>0</v>
      </c>
      <c r="I118" s="21"/>
      <c r="J118" s="17">
        <f t="shared" si="22"/>
        <v>0</v>
      </c>
      <c r="K118" s="21"/>
      <c r="L118" s="22"/>
      <c r="M118" s="128" t="s">
        <v>173</v>
      </c>
      <c r="N118" s="125">
        <v>0</v>
      </c>
      <c r="O118" s="150">
        <f>IF(E$6="Port Telvannis",40000*Q118*(1-L$7)*(1-N118),0)</f>
        <v>0</v>
      </c>
      <c r="P118" s="145">
        <f t="shared" si="16"/>
        <v>0</v>
      </c>
      <c r="Q118" s="146">
        <f>IF(E$6=A118,IF(M118="Possédée",1,IF(M118="Assiégée",0.5,0)),0)</f>
        <v>0</v>
      </c>
    </row>
    <row r="119" spans="1:17" ht="15.75" thickBot="1" x14ac:dyDescent="0.3">
      <c r="A119" s="132" t="s">
        <v>202</v>
      </c>
      <c r="B119" s="119">
        <f>SUM(P27:P118)</f>
        <v>0</v>
      </c>
      <c r="C119" s="89">
        <f>SUM(C27:C118)</f>
        <v>0</v>
      </c>
      <c r="D119" s="89">
        <f>SUM(D27:D118)</f>
        <v>0</v>
      </c>
      <c r="E119" s="89">
        <f>SUM(E27:E118)</f>
        <v>10</v>
      </c>
      <c r="F119" s="89">
        <f t="shared" ref="F119:L119" si="23">SUM(F27:F118)</f>
        <v>0</v>
      </c>
      <c r="G119" s="89">
        <f t="shared" si="23"/>
        <v>0</v>
      </c>
      <c r="H119" s="89">
        <f t="shared" si="23"/>
        <v>10</v>
      </c>
      <c r="I119" s="89">
        <f t="shared" si="23"/>
        <v>0</v>
      </c>
      <c r="J119" s="89">
        <f t="shared" si="23"/>
        <v>10</v>
      </c>
      <c r="K119" s="89">
        <f t="shared" si="23"/>
        <v>0</v>
      </c>
      <c r="L119" s="89">
        <f t="shared" si="23"/>
        <v>0</v>
      </c>
      <c r="M119" s="133"/>
      <c r="N119" s="134"/>
      <c r="O119" s="151">
        <f>SUM(O27:O118)</f>
        <v>40000</v>
      </c>
      <c r="P119" s="147"/>
      <c r="Q119" s="148"/>
    </row>
    <row r="120" spans="1:17" x14ac:dyDescent="0.25">
      <c r="A120" s="131" t="s">
        <v>216</v>
      </c>
    </row>
    <row r="122" spans="1:17" x14ac:dyDescent="0.25">
      <c r="A122" t="s">
        <v>160</v>
      </c>
    </row>
    <row r="123" spans="1:17" x14ac:dyDescent="0.25">
      <c r="A123" t="s">
        <v>22</v>
      </c>
      <c r="D123" t="s">
        <v>199</v>
      </c>
    </row>
    <row r="124" spans="1:17" x14ac:dyDescent="0.25">
      <c r="A124" t="s">
        <v>23</v>
      </c>
      <c r="B124" s="122">
        <v>0</v>
      </c>
      <c r="C124" t="s">
        <v>178</v>
      </c>
      <c r="D124" t="s">
        <v>200</v>
      </c>
      <c r="E124">
        <f>COUNTIF(M27:M111,"Possédée")+COUNTIF(M27:M111,"Assiégée")</f>
        <v>0</v>
      </c>
    </row>
    <row r="125" spans="1:17" x14ac:dyDescent="0.25">
      <c r="A125" t="s">
        <v>24</v>
      </c>
      <c r="B125" s="122">
        <v>0.05</v>
      </c>
      <c r="C125" t="s">
        <v>179</v>
      </c>
      <c r="D125" t="s">
        <v>217</v>
      </c>
      <c r="E125">
        <f>COUNTIF(M113:M118,"Possédée")+COUNTIF(M113:M118,"Assiégée")</f>
        <v>1</v>
      </c>
    </row>
    <row r="126" spans="1:17" x14ac:dyDescent="0.25">
      <c r="A126" t="s">
        <v>33</v>
      </c>
      <c r="B126" s="122">
        <v>0.1</v>
      </c>
      <c r="C126" t="s">
        <v>180</v>
      </c>
      <c r="D126" s="97" t="s">
        <v>218</v>
      </c>
      <c r="E126">
        <f>COUNTIF(M27:M118,"Possédée")+COUNTIF(M27:M118,"Assiégée")</f>
        <v>1</v>
      </c>
    </row>
    <row r="127" spans="1:17" x14ac:dyDescent="0.25">
      <c r="A127" t="s">
        <v>41</v>
      </c>
      <c r="B127" s="122">
        <v>0.15</v>
      </c>
      <c r="C127" t="s">
        <v>181</v>
      </c>
      <c r="D127" t="s">
        <v>201</v>
      </c>
      <c r="E127">
        <f>COUNTIF(M27:M118,"Assiégée")</f>
        <v>0</v>
      </c>
    </row>
    <row r="128" spans="1:17" x14ac:dyDescent="0.25">
      <c r="A128" t="s">
        <v>49</v>
      </c>
      <c r="B128" s="122">
        <v>0.2</v>
      </c>
      <c r="C128" t="s">
        <v>182</v>
      </c>
    </row>
    <row r="129" spans="1:3" x14ac:dyDescent="0.25">
      <c r="A129" t="s">
        <v>59</v>
      </c>
      <c r="B129" s="122">
        <v>0.25</v>
      </c>
      <c r="C129" t="s">
        <v>183</v>
      </c>
    </row>
    <row r="130" spans="1:3" x14ac:dyDescent="0.25">
      <c r="A130" t="s">
        <v>68</v>
      </c>
      <c r="B130" s="122">
        <v>0.3</v>
      </c>
      <c r="C130" t="s">
        <v>184</v>
      </c>
    </row>
    <row r="131" spans="1:3" x14ac:dyDescent="0.25">
      <c r="A131" t="s">
        <v>77</v>
      </c>
      <c r="B131" s="122">
        <v>0.35</v>
      </c>
      <c r="C131" t="s">
        <v>185</v>
      </c>
    </row>
    <row r="132" spans="1:3" x14ac:dyDescent="0.25">
      <c r="A132" t="s">
        <v>86</v>
      </c>
      <c r="B132" s="122">
        <v>0.4</v>
      </c>
      <c r="C132" t="s">
        <v>186</v>
      </c>
    </row>
    <row r="133" spans="1:3" x14ac:dyDescent="0.25">
      <c r="A133" t="s">
        <v>140</v>
      </c>
      <c r="B133" s="122">
        <v>0.45</v>
      </c>
      <c r="C133" t="s">
        <v>187</v>
      </c>
    </row>
    <row r="134" spans="1:3" x14ac:dyDescent="0.25">
      <c r="A134" t="s">
        <v>142</v>
      </c>
      <c r="B134" s="122">
        <v>0.5</v>
      </c>
      <c r="C134" t="s">
        <v>188</v>
      </c>
    </row>
    <row r="135" spans="1:3" x14ac:dyDescent="0.25">
      <c r="A135" t="s">
        <v>143</v>
      </c>
      <c r="B135" s="122">
        <v>0.55000000000000004</v>
      </c>
      <c r="C135" t="s">
        <v>189</v>
      </c>
    </row>
    <row r="136" spans="1:3" x14ac:dyDescent="0.25">
      <c r="A136" t="s">
        <v>144</v>
      </c>
      <c r="B136" s="122">
        <v>0.6</v>
      </c>
      <c r="C136" t="s">
        <v>190</v>
      </c>
    </row>
    <row r="137" spans="1:3" x14ac:dyDescent="0.25">
      <c r="A137" t="s">
        <v>145</v>
      </c>
      <c r="B137" s="122">
        <v>0.65</v>
      </c>
      <c r="C137" t="s">
        <v>191</v>
      </c>
    </row>
    <row r="138" spans="1:3" x14ac:dyDescent="0.25">
      <c r="A138" t="s">
        <v>146</v>
      </c>
      <c r="B138" s="122">
        <v>0.7</v>
      </c>
      <c r="C138" t="s">
        <v>192</v>
      </c>
    </row>
    <row r="139" spans="1:3" x14ac:dyDescent="0.25">
      <c r="A139" t="s">
        <v>147</v>
      </c>
      <c r="B139" s="122">
        <v>0.75</v>
      </c>
      <c r="C139" t="s">
        <v>193</v>
      </c>
    </row>
    <row r="140" spans="1:3" x14ac:dyDescent="0.25">
      <c r="A140" t="s">
        <v>219</v>
      </c>
      <c r="B140" s="122">
        <v>0.8</v>
      </c>
      <c r="C140" t="s">
        <v>194</v>
      </c>
    </row>
    <row r="141" spans="1:3" x14ac:dyDescent="0.25">
      <c r="B141" s="122">
        <v>0.85</v>
      </c>
      <c r="C141" t="s">
        <v>195</v>
      </c>
    </row>
    <row r="142" spans="1:3" x14ac:dyDescent="0.25">
      <c r="B142" s="122">
        <v>0.9</v>
      </c>
      <c r="C142" t="s">
        <v>196</v>
      </c>
    </row>
    <row r="143" spans="1:3" x14ac:dyDescent="0.25">
      <c r="B143" s="122">
        <v>0.95</v>
      </c>
      <c r="C143" t="s">
        <v>197</v>
      </c>
    </row>
    <row r="144" spans="1:3" x14ac:dyDescent="0.25">
      <c r="B144" s="122">
        <v>1</v>
      </c>
      <c r="C144" t="s">
        <v>198</v>
      </c>
    </row>
    <row r="145" spans="3:3" x14ac:dyDescent="0.25">
      <c r="C145" t="s">
        <v>209</v>
      </c>
    </row>
    <row r="146" spans="3:3" x14ac:dyDescent="0.25">
      <c r="C146" t="s">
        <v>210</v>
      </c>
    </row>
    <row r="147" spans="3:3" x14ac:dyDescent="0.25">
      <c r="C147" t="s">
        <v>211</v>
      </c>
    </row>
    <row r="148" spans="3:3" x14ac:dyDescent="0.25">
      <c r="C148" t="s">
        <v>212</v>
      </c>
    </row>
  </sheetData>
  <mergeCells count="6">
    <mergeCell ref="P25:Q25"/>
    <mergeCell ref="E6:G6"/>
    <mergeCell ref="H6:K6"/>
    <mergeCell ref="C7:D7"/>
    <mergeCell ref="H7:K7"/>
    <mergeCell ref="C25:L25"/>
  </mergeCells>
  <conditionalFormatting sqref="C21:L21">
    <cfRule type="cellIs" dxfId="7" priority="5" operator="greaterThanOrEqual">
      <formula>0</formula>
    </cfRule>
    <cfRule type="cellIs" dxfId="6" priority="6" operator="lessThan">
      <formula>0</formula>
    </cfRule>
  </conditionalFormatting>
  <conditionalFormatting sqref="C13:L13">
    <cfRule type="containsText" dxfId="5" priority="7" operator="containsText" text="Oui">
      <formula>NOT(ISERROR(SEARCH("Oui",C13)))</formula>
    </cfRule>
    <cfRule type="containsText" dxfId="4" priority="8" operator="containsText" text="Non">
      <formula>NOT(ISERROR(SEARCH("Non",C13)))</formula>
    </cfRule>
  </conditionalFormatting>
  <conditionalFormatting sqref="M27:M34 M36:M43 M45:M53 M55:M61 M63:M70 M72:M79 M81:M88 M90:M97 M99:M106 M108:M111 M113:M119">
    <cfRule type="containsText" dxfId="3" priority="2" operator="containsText" text="Non Possédée">
      <formula>NOT(ISERROR(SEARCH("Non Possédée",M27)))</formula>
    </cfRule>
    <cfRule type="containsText" dxfId="2" priority="3" operator="containsText" text="Assiégée">
      <formula>NOT(ISERROR(SEARCH("Assiégée",M27)))</formula>
    </cfRule>
    <cfRule type="containsText" dxfId="1" priority="4" operator="containsText" text="Possédée">
      <formula>NOT(ISERROR(SEARCH("Possédée",M27)))</formula>
    </cfRule>
  </conditionalFormatting>
  <conditionalFormatting sqref="N27:N34 N36:N43 N45:N53 N63:N70 N72:N79 N81:N88 N90:N97 N99:N106 N108:N111 N113:N119 N55:N61">
    <cfRule type="cellIs" dxfId="0" priority="1" operator="greaterThan">
      <formula>0</formula>
    </cfRule>
  </conditionalFormatting>
  <dataValidations count="4">
    <dataValidation type="list" errorStyle="information" allowBlank="1" showInputMessage="1" showErrorMessage="1" sqref="D8 E7">
      <formula1>Année</formula1>
    </dataValidation>
    <dataValidation type="list" allowBlank="1" showInputMessage="1" showErrorMessage="1" sqref="N108:N111 N27:N34 N36:N43 N113:N119 N45:N53 N63:N70 N72:N79 N81:N88 N90:N97 N99:N106 N55:N61">
      <formula1>Malus</formula1>
    </dataValidation>
    <dataValidation type="list" allowBlank="1" showInputMessage="1" showErrorMessage="1" sqref="M99:M106 M27:M34 M36:M43 M45:M53 M55:M61 M63:M70 M72:M79 M81:M88 M90:M97 M108:M111 M113:M119">
      <formula1>"Possédée,Assiégée,Non Possédée"</formula1>
    </dataValidation>
    <dataValidation type="list" allowBlank="1" showInputMessage="1" showErrorMessage="1" sqref="E6">
      <formula1>Provinces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8"/>
  <sheetViews>
    <sheetView workbookViewId="0">
      <selection activeCell="N24" sqref="N24"/>
    </sheetView>
  </sheetViews>
  <sheetFormatPr baseColWidth="10" defaultRowHeight="15" x14ac:dyDescent="0.25"/>
  <cols>
    <col min="1" max="1" width="21" customWidth="1"/>
    <col min="2" max="2" width="6.28515625" customWidth="1"/>
    <col min="13" max="13" width="13.85546875" customWidth="1"/>
    <col min="14" max="14" width="9.85546875" customWidth="1"/>
    <col min="15" max="15" width="10.140625" customWidth="1"/>
    <col min="16" max="16" width="12" customWidth="1"/>
    <col min="17" max="17" width="17.28515625" customWidth="1"/>
  </cols>
  <sheetData>
    <row r="1" spans="1:17" ht="21" x14ac:dyDescent="0.35">
      <c r="A1" s="2" t="s">
        <v>170</v>
      </c>
      <c r="B1" s="1"/>
    </row>
    <row r="3" spans="1:17" x14ac:dyDescent="0.25">
      <c r="A3" t="s">
        <v>141</v>
      </c>
    </row>
    <row r="4" spans="1:17" x14ac:dyDescent="0.25">
      <c r="A4" t="s">
        <v>220</v>
      </c>
    </row>
    <row r="6" spans="1:17" x14ac:dyDescent="0.25">
      <c r="A6" s="94" t="s">
        <v>148</v>
      </c>
      <c r="B6" s="95"/>
      <c r="C6" s="59" t="s">
        <v>149</v>
      </c>
      <c r="E6" s="156" t="s">
        <v>22</v>
      </c>
      <c r="F6" s="157"/>
      <c r="G6" s="158"/>
      <c r="H6" s="164" t="s">
        <v>207</v>
      </c>
      <c r="I6" s="165"/>
      <c r="J6" s="165"/>
      <c r="K6" s="163"/>
      <c r="L6" s="139">
        <v>8</v>
      </c>
      <c r="O6" s="137" t="s">
        <v>206</v>
      </c>
      <c r="Q6" s="97"/>
    </row>
    <row r="7" spans="1:17" x14ac:dyDescent="0.25">
      <c r="A7" s="98" t="s">
        <v>150</v>
      </c>
      <c r="B7" s="96"/>
      <c r="C7" s="166" t="s">
        <v>151</v>
      </c>
      <c r="D7" s="167"/>
      <c r="E7" s="138" t="s">
        <v>178</v>
      </c>
      <c r="F7" s="97"/>
      <c r="H7" s="162" t="s">
        <v>152</v>
      </c>
      <c r="I7" s="162"/>
      <c r="J7" s="162"/>
      <c r="K7" s="163"/>
      <c r="L7" s="140">
        <f>1-(COUNTIF(C13:L13,"Oui" )/10)</f>
        <v>0</v>
      </c>
      <c r="O7" s="153" t="s">
        <v>221</v>
      </c>
      <c r="P7" s="97"/>
      <c r="Q7" s="97"/>
    </row>
    <row r="8" spans="1:17" ht="15.75" thickBot="1" x14ac:dyDescent="0.3">
      <c r="A8" s="98"/>
      <c r="B8" s="96"/>
      <c r="H8" t="s">
        <v>208</v>
      </c>
      <c r="L8" s="152">
        <f>O119</f>
        <v>270000</v>
      </c>
      <c r="P8" s="97"/>
      <c r="Q8" s="97"/>
    </row>
    <row r="9" spans="1:17" ht="15.75" thickBot="1" x14ac:dyDescent="0.3">
      <c r="A9" s="97"/>
      <c r="B9" s="97"/>
      <c r="C9" s="100" t="s">
        <v>8</v>
      </c>
      <c r="D9" s="101" t="s">
        <v>9</v>
      </c>
      <c r="E9" s="101" t="s">
        <v>10</v>
      </c>
      <c r="F9" s="101" t="s">
        <v>137</v>
      </c>
      <c r="G9" s="101" t="s">
        <v>11</v>
      </c>
      <c r="H9" s="101" t="s">
        <v>138</v>
      </c>
      <c r="I9" s="101" t="s">
        <v>139</v>
      </c>
      <c r="J9" s="101" t="s">
        <v>12</v>
      </c>
      <c r="K9" s="101" t="s">
        <v>13</v>
      </c>
      <c r="L9" s="102" t="s">
        <v>105</v>
      </c>
    </row>
    <row r="10" spans="1:17" x14ac:dyDescent="0.25">
      <c r="A10" s="103" t="s">
        <v>153</v>
      </c>
      <c r="B10" s="97"/>
      <c r="C10" s="136">
        <v>120</v>
      </c>
      <c r="D10" s="104">
        <v>120</v>
      </c>
      <c r="E10" s="104">
        <v>120</v>
      </c>
      <c r="F10" s="104">
        <v>120</v>
      </c>
      <c r="G10" s="104">
        <v>120</v>
      </c>
      <c r="H10" s="104">
        <v>120</v>
      </c>
      <c r="I10" s="104">
        <v>120</v>
      </c>
      <c r="J10" s="104">
        <v>120</v>
      </c>
      <c r="K10" s="104">
        <v>120</v>
      </c>
      <c r="L10" s="135">
        <v>120</v>
      </c>
    </row>
    <row r="11" spans="1:17" x14ac:dyDescent="0.25">
      <c r="A11" s="103" t="s">
        <v>154</v>
      </c>
      <c r="B11" s="97"/>
      <c r="C11" s="105">
        <f>15*L6</f>
        <v>120</v>
      </c>
      <c r="D11" s="105">
        <f>15*L6</f>
        <v>120</v>
      </c>
      <c r="E11" s="105">
        <f>15*L6</f>
        <v>120</v>
      </c>
      <c r="F11" s="105">
        <f>15*L6</f>
        <v>120</v>
      </c>
      <c r="G11" s="105">
        <f>15*L6</f>
        <v>120</v>
      </c>
      <c r="H11" s="105">
        <f>15*L6</f>
        <v>120</v>
      </c>
      <c r="I11" s="105">
        <f>15*L6</f>
        <v>120</v>
      </c>
      <c r="J11" s="105">
        <f>15*L6</f>
        <v>120</v>
      </c>
      <c r="K11" s="105">
        <f>15*L6</f>
        <v>120</v>
      </c>
      <c r="L11" s="105">
        <f>15*L6</f>
        <v>120</v>
      </c>
    </row>
    <row r="12" spans="1:17" x14ac:dyDescent="0.25">
      <c r="A12" s="103" t="s">
        <v>155</v>
      </c>
      <c r="B12" s="97"/>
      <c r="C12" s="106">
        <f>C119</f>
        <v>140</v>
      </c>
      <c r="D12" s="106">
        <f>D119</f>
        <v>70</v>
      </c>
      <c r="E12" s="106">
        <f t="shared" ref="E12:L12" si="0">E119</f>
        <v>0</v>
      </c>
      <c r="F12" s="106">
        <f t="shared" si="0"/>
        <v>130</v>
      </c>
      <c r="G12" s="106">
        <f t="shared" si="0"/>
        <v>30</v>
      </c>
      <c r="H12" s="106">
        <f t="shared" si="0"/>
        <v>0</v>
      </c>
      <c r="I12" s="106">
        <f t="shared" si="0"/>
        <v>340</v>
      </c>
      <c r="J12" s="106">
        <f t="shared" si="0"/>
        <v>0</v>
      </c>
      <c r="K12" s="106">
        <f t="shared" si="0"/>
        <v>240</v>
      </c>
      <c r="L12" s="106">
        <f t="shared" si="0"/>
        <v>450</v>
      </c>
    </row>
    <row r="13" spans="1:17" x14ac:dyDescent="0.25">
      <c r="A13" s="88" t="s">
        <v>156</v>
      </c>
      <c r="B13" s="97"/>
      <c r="C13" s="107" t="str">
        <f>IF((C10-C11) &gt;= 0,"Oui","Non")</f>
        <v>Oui</v>
      </c>
      <c r="D13" s="107" t="str">
        <f t="shared" ref="D13:L13" si="1">IF((D10-D11) &gt;= 0,"Oui","Non")</f>
        <v>Oui</v>
      </c>
      <c r="E13" s="107" t="str">
        <f t="shared" si="1"/>
        <v>Oui</v>
      </c>
      <c r="F13" s="107" t="str">
        <f t="shared" si="1"/>
        <v>Oui</v>
      </c>
      <c r="G13" s="107" t="str">
        <f t="shared" si="1"/>
        <v>Oui</v>
      </c>
      <c r="H13" s="107" t="str">
        <f t="shared" si="1"/>
        <v>Oui</v>
      </c>
      <c r="I13" s="107" t="str">
        <f t="shared" si="1"/>
        <v>Oui</v>
      </c>
      <c r="J13" s="107" t="str">
        <f t="shared" si="1"/>
        <v>Oui</v>
      </c>
      <c r="K13" s="107" t="str">
        <f t="shared" si="1"/>
        <v>Oui</v>
      </c>
      <c r="L13" s="107" t="str">
        <f t="shared" si="1"/>
        <v>Oui</v>
      </c>
    </row>
    <row r="14" spans="1:17" x14ac:dyDescent="0.25">
      <c r="A14" s="103" t="s">
        <v>157</v>
      </c>
      <c r="B14" s="97"/>
      <c r="C14" s="108">
        <f>IF(C13="OUI",C10-C11+C12,C10+C12)</f>
        <v>140</v>
      </c>
      <c r="D14" s="108">
        <f>IF(D13="OUI",D10-D11+D12,D10+D12)</f>
        <v>70</v>
      </c>
      <c r="E14" s="108">
        <f t="shared" ref="E14:L14" si="2">IF(E13="OUI",E10-E11+E12,E10+E12)</f>
        <v>0</v>
      </c>
      <c r="F14" s="108">
        <f t="shared" si="2"/>
        <v>130</v>
      </c>
      <c r="G14" s="108">
        <f t="shared" si="2"/>
        <v>30</v>
      </c>
      <c r="H14" s="108">
        <f t="shared" si="2"/>
        <v>0</v>
      </c>
      <c r="I14" s="108">
        <f t="shared" si="2"/>
        <v>340</v>
      </c>
      <c r="J14" s="108">
        <f t="shared" si="2"/>
        <v>0</v>
      </c>
      <c r="K14" s="108">
        <f t="shared" si="2"/>
        <v>240</v>
      </c>
      <c r="L14" s="108">
        <f t="shared" si="2"/>
        <v>450</v>
      </c>
    </row>
    <row r="15" spans="1:17" x14ac:dyDescent="0.25">
      <c r="A15" s="103" t="s">
        <v>162</v>
      </c>
      <c r="B15" s="97"/>
      <c r="C15" s="142"/>
      <c r="D15" s="142"/>
      <c r="E15" s="142">
        <v>120</v>
      </c>
      <c r="F15" s="142"/>
      <c r="G15" s="142">
        <v>90</v>
      </c>
      <c r="H15" s="142">
        <v>120</v>
      </c>
      <c r="I15" s="142"/>
      <c r="J15" s="142">
        <v>120</v>
      </c>
      <c r="K15" s="142"/>
      <c r="L15" s="142"/>
    </row>
    <row r="16" spans="1:17" x14ac:dyDescent="0.25">
      <c r="A16" s="103" t="s">
        <v>165</v>
      </c>
      <c r="B16" s="97"/>
      <c r="C16" s="142"/>
      <c r="D16" s="142"/>
      <c r="E16" s="142"/>
      <c r="F16" s="142"/>
      <c r="G16" s="142"/>
      <c r="H16" s="142"/>
      <c r="I16" s="142"/>
      <c r="J16" s="142"/>
      <c r="K16" s="142"/>
      <c r="L16" s="142"/>
    </row>
    <row r="17" spans="1:17" x14ac:dyDescent="0.25">
      <c r="A17" s="103" t="s">
        <v>163</v>
      </c>
      <c r="B17" s="97"/>
      <c r="C17" s="141">
        <v>20</v>
      </c>
      <c r="D17" s="141"/>
      <c r="E17" s="141"/>
      <c r="F17" s="141"/>
      <c r="G17" s="141"/>
      <c r="H17" s="141"/>
      <c r="I17" s="141">
        <v>105</v>
      </c>
      <c r="J17" s="141"/>
      <c r="K17" s="141">
        <v>105</v>
      </c>
      <c r="L17" s="141"/>
    </row>
    <row r="18" spans="1:17" x14ac:dyDescent="0.25">
      <c r="A18" s="103" t="s">
        <v>164</v>
      </c>
      <c r="B18" s="97"/>
      <c r="C18" s="141"/>
      <c r="D18" s="141"/>
      <c r="E18" s="141"/>
      <c r="F18" s="141"/>
      <c r="G18" s="141"/>
      <c r="H18" s="141"/>
      <c r="I18" s="141"/>
      <c r="J18" s="141"/>
      <c r="K18" s="141">
        <v>15</v>
      </c>
      <c r="L18" s="141">
        <v>15</v>
      </c>
    </row>
    <row r="19" spans="1:17" x14ac:dyDescent="0.25">
      <c r="A19" s="109" t="s">
        <v>158</v>
      </c>
      <c r="B19" s="97"/>
      <c r="C19" s="110">
        <f>C14+C15+C16-C17-C18</f>
        <v>120</v>
      </c>
      <c r="D19" s="110">
        <f>D14+D15+D16-D17-D18</f>
        <v>70</v>
      </c>
      <c r="E19" s="110">
        <f t="shared" ref="E19:K19" si="3">E14+E15+E16-E17-E18</f>
        <v>120</v>
      </c>
      <c r="F19" s="110">
        <f>F14+F15+F16-F17-F18</f>
        <v>130</v>
      </c>
      <c r="G19" s="110">
        <f t="shared" si="3"/>
        <v>120</v>
      </c>
      <c r="H19" s="110">
        <f t="shared" si="3"/>
        <v>120</v>
      </c>
      <c r="I19" s="110">
        <f t="shared" si="3"/>
        <v>235</v>
      </c>
      <c r="J19" s="110">
        <f t="shared" si="3"/>
        <v>120</v>
      </c>
      <c r="K19" s="110">
        <f t="shared" si="3"/>
        <v>120</v>
      </c>
      <c r="L19" s="110">
        <f>L14+L15+L16-L17-L18</f>
        <v>435</v>
      </c>
    </row>
    <row r="20" spans="1:17" x14ac:dyDescent="0.25">
      <c r="A20" s="103" t="s">
        <v>161</v>
      </c>
      <c r="B20" s="97"/>
      <c r="C20" s="111">
        <f>(COUNTIF(M27:M111,"Possédée")+COUNTIF(M27:M111,"Assiégée"))*15</f>
        <v>120</v>
      </c>
      <c r="D20" s="111">
        <f>(COUNTIF(M27:M111,"Possédée")+COUNTIF(M27:M111,"Assiégée"))*15</f>
        <v>120</v>
      </c>
      <c r="E20" s="111">
        <f>(COUNTIF(M27:M111,"Possédée")+COUNTIF(M27:M111,"Assiégée"))*15</f>
        <v>120</v>
      </c>
      <c r="F20" s="111">
        <f>(COUNTIF(M27:M111,"Possédée")+COUNTIF(M27:M111,"Assiégée"))*15</f>
        <v>120</v>
      </c>
      <c r="G20" s="111">
        <f>(COUNTIF(M27:M111,"Possédée")+COUNTIF(M27:M111,"Assiégée"))*15</f>
        <v>120</v>
      </c>
      <c r="H20" s="111">
        <f>(COUNTIF(M27:M111,"Possédée")+COUNTIF(M27:M111,"Assiégée"))*15</f>
        <v>120</v>
      </c>
      <c r="I20" s="111">
        <f>(COUNTIF(M27:M111,"Possédée")+COUNTIF(M27:M111,"Assiégée"))*15</f>
        <v>120</v>
      </c>
      <c r="J20" s="111">
        <f>(COUNTIF(M27:M111,"Possédée")+COUNTIF(M27:M111,"Assiégée"))*15</f>
        <v>120</v>
      </c>
      <c r="K20" s="111">
        <f>(COUNTIF(M27:M111,"Possédée")+COUNTIF(M27:M111,"Assiégée"))*15</f>
        <v>120</v>
      </c>
      <c r="L20" s="111">
        <f>(COUNTIF(M27:M111,"Possédée")+COUNTIF(M27:M111,"Assiégée"))*15</f>
        <v>120</v>
      </c>
    </row>
    <row r="21" spans="1:17" x14ac:dyDescent="0.25">
      <c r="A21" s="103" t="s">
        <v>159</v>
      </c>
      <c r="B21" s="97"/>
      <c r="C21" s="112">
        <f>C19-C20</f>
        <v>0</v>
      </c>
      <c r="D21" s="112">
        <f t="shared" ref="D21:L21" si="4">D19-D20</f>
        <v>-50</v>
      </c>
      <c r="E21" s="112">
        <f>E19-E20</f>
        <v>0</v>
      </c>
      <c r="F21" s="112">
        <f>F19-F20</f>
        <v>10</v>
      </c>
      <c r="G21" s="112">
        <f t="shared" si="4"/>
        <v>0</v>
      </c>
      <c r="H21" s="112">
        <f t="shared" si="4"/>
        <v>0</v>
      </c>
      <c r="I21" s="112">
        <f t="shared" si="4"/>
        <v>115</v>
      </c>
      <c r="J21" s="112">
        <f t="shared" si="4"/>
        <v>0</v>
      </c>
      <c r="K21" s="112">
        <f t="shared" si="4"/>
        <v>0</v>
      </c>
      <c r="L21" s="112">
        <f t="shared" si="4"/>
        <v>315</v>
      </c>
    </row>
    <row r="22" spans="1:17" x14ac:dyDescent="0.25">
      <c r="A22" s="103"/>
      <c r="B22" s="97"/>
    </row>
    <row r="23" spans="1:17" x14ac:dyDescent="0.25">
      <c r="O23" s="99" t="s">
        <v>176</v>
      </c>
    </row>
    <row r="24" spans="1:17" ht="15.75" thickBot="1" x14ac:dyDescent="0.3">
      <c r="A24" s="114" t="s">
        <v>160</v>
      </c>
      <c r="H24" s="97"/>
      <c r="I24" s="97"/>
      <c r="J24" s="97"/>
    </row>
    <row r="25" spans="1:17" ht="15.75" thickBot="1" x14ac:dyDescent="0.3">
      <c r="A25" s="121" t="s">
        <v>168</v>
      </c>
      <c r="B25" s="75" t="s">
        <v>167</v>
      </c>
      <c r="C25" s="159" t="s">
        <v>169</v>
      </c>
      <c r="D25" s="160"/>
      <c r="E25" s="160"/>
      <c r="F25" s="160"/>
      <c r="G25" s="160"/>
      <c r="H25" s="160"/>
      <c r="I25" s="160"/>
      <c r="J25" s="160"/>
      <c r="K25" s="160"/>
      <c r="L25" s="161"/>
      <c r="M25" s="129" t="s">
        <v>171</v>
      </c>
      <c r="N25" s="115" t="s">
        <v>172</v>
      </c>
      <c r="O25" s="129" t="s">
        <v>213</v>
      </c>
      <c r="P25" s="154" t="s">
        <v>203</v>
      </c>
      <c r="Q25" s="155"/>
    </row>
    <row r="26" spans="1:17" ht="15.75" thickBot="1" x14ac:dyDescent="0.3">
      <c r="A26" s="3" t="s">
        <v>22</v>
      </c>
      <c r="B26" s="120" t="s">
        <v>166</v>
      </c>
      <c r="C26" s="91" t="s">
        <v>8</v>
      </c>
      <c r="D26" s="92" t="s">
        <v>9</v>
      </c>
      <c r="E26" s="92" t="s">
        <v>10</v>
      </c>
      <c r="F26" s="92" t="s">
        <v>137</v>
      </c>
      <c r="G26" s="92" t="s">
        <v>11</v>
      </c>
      <c r="H26" s="92" t="s">
        <v>138</v>
      </c>
      <c r="I26" s="92" t="s">
        <v>139</v>
      </c>
      <c r="J26" s="92" t="s">
        <v>12</v>
      </c>
      <c r="K26" s="92" t="s">
        <v>13</v>
      </c>
      <c r="L26" s="93" t="s">
        <v>105</v>
      </c>
      <c r="M26" s="130" t="s">
        <v>175</v>
      </c>
      <c r="N26" s="118" t="s">
        <v>177</v>
      </c>
      <c r="O26" s="130" t="s">
        <v>214</v>
      </c>
      <c r="P26" s="147" t="s">
        <v>204</v>
      </c>
      <c r="Q26" s="148" t="s">
        <v>205</v>
      </c>
    </row>
    <row r="27" spans="1:17" x14ac:dyDescent="0.25">
      <c r="A27" t="s">
        <v>0</v>
      </c>
      <c r="B27" s="115">
        <v>15</v>
      </c>
      <c r="C27" s="15"/>
      <c r="D27" s="15"/>
      <c r="E27" s="15"/>
      <c r="F27" s="15"/>
      <c r="G27" s="15"/>
      <c r="H27" s="15"/>
      <c r="I27" s="15">
        <f>TRUNC(90*Q27*(1-L7)*(1-N27))</f>
        <v>90</v>
      </c>
      <c r="J27" s="15"/>
      <c r="K27" s="15"/>
      <c r="L27" s="16">
        <f>TRUNC(120*Q27*(1-L7)*(1-N27))</f>
        <v>120</v>
      </c>
      <c r="M27" s="126" t="s">
        <v>174</v>
      </c>
      <c r="N27" s="123">
        <v>0</v>
      </c>
      <c r="O27" s="149">
        <f>IF(E$6="Archipel de l'Automne",60000*Q27*(1-L$7)*(1-N27),30000*Q27*(1-L$7)*(1-N27))</f>
        <v>60000</v>
      </c>
      <c r="P27" s="143">
        <f>IF(OR(M27="Possédée",M27="Assiégée"),B27,0)</f>
        <v>15</v>
      </c>
      <c r="Q27" s="144">
        <f>IF(M27="Possédée",1,IF(M27="Assiégée",0.5,0))</f>
        <v>1</v>
      </c>
    </row>
    <row r="28" spans="1:17" x14ac:dyDescent="0.25">
      <c r="A28" t="s">
        <v>1</v>
      </c>
      <c r="B28" s="116">
        <v>15</v>
      </c>
      <c r="C28" s="17"/>
      <c r="D28" s="17"/>
      <c r="E28" s="17"/>
      <c r="F28" s="17"/>
      <c r="G28" s="17">
        <f>TRUNC(30*Q28*(1-L7)*(1-N28))</f>
        <v>30</v>
      </c>
      <c r="H28" s="17"/>
      <c r="I28" s="17"/>
      <c r="J28" s="17"/>
      <c r="K28" s="17"/>
      <c r="L28" s="18">
        <f>TRUNC(140*Q28*(1-L7)*(1-N28))</f>
        <v>140</v>
      </c>
      <c r="M28" s="127" t="s">
        <v>174</v>
      </c>
      <c r="N28" s="124">
        <v>0</v>
      </c>
      <c r="O28" s="150">
        <f>30000*Q28*(1-L$7)*(1-N28)</f>
        <v>30000</v>
      </c>
      <c r="P28" s="145">
        <f>IF(OR(M28="Possédée",M28="Assiégée"),B28,0)</f>
        <v>15</v>
      </c>
      <c r="Q28" s="146">
        <f t="shared" ref="Q28:Q91" si="5">IF(M28="Possédée",1,IF(M28="Assiégée",0.5,0))</f>
        <v>1</v>
      </c>
    </row>
    <row r="29" spans="1:17" x14ac:dyDescent="0.25">
      <c r="A29" t="s">
        <v>2</v>
      </c>
      <c r="B29" s="116">
        <v>15</v>
      </c>
      <c r="C29" s="17">
        <f>TRUNC(60*Q29*(1-L7)*(1-N29))</f>
        <v>60</v>
      </c>
      <c r="D29" s="17"/>
      <c r="E29" s="17"/>
      <c r="F29" s="17"/>
      <c r="G29" s="17"/>
      <c r="H29" s="17"/>
      <c r="I29" s="17">
        <f>TRUNC(110*Q29*(1-L7)*(1-N29))</f>
        <v>110</v>
      </c>
      <c r="J29" s="17"/>
      <c r="K29" s="17"/>
      <c r="L29" s="18"/>
      <c r="M29" s="127" t="s">
        <v>174</v>
      </c>
      <c r="N29" s="124">
        <v>0</v>
      </c>
      <c r="O29" s="150">
        <f t="shared" ref="O29:O34" si="6">30000*Q29*(1-L$7)*(1-N29)</f>
        <v>30000</v>
      </c>
      <c r="P29" s="145">
        <f t="shared" ref="P29:P92" si="7">IF(OR(M29="Possédée",M29="Assiégée"),B29,0)</f>
        <v>15</v>
      </c>
      <c r="Q29" s="146">
        <f t="shared" si="5"/>
        <v>1</v>
      </c>
    </row>
    <row r="30" spans="1:17" x14ac:dyDescent="0.25">
      <c r="A30" t="s">
        <v>3</v>
      </c>
      <c r="B30" s="116">
        <v>15</v>
      </c>
      <c r="C30" s="17">
        <f>TRUNC(40*Q30*(1-L7)*(1-N30))</f>
        <v>40</v>
      </c>
      <c r="D30" s="17"/>
      <c r="E30" s="17"/>
      <c r="F30" s="17"/>
      <c r="G30" s="17"/>
      <c r="H30" s="17"/>
      <c r="I30" s="17">
        <f>TRUNC(60*Q30*(1-L7)*(1-N30))</f>
        <v>60</v>
      </c>
      <c r="J30" s="17"/>
      <c r="K30" s="17">
        <f>TRUNC(70*Q30*(1-L7)*(1-N30))</f>
        <v>70</v>
      </c>
      <c r="L30" s="18"/>
      <c r="M30" s="127" t="s">
        <v>174</v>
      </c>
      <c r="N30" s="124">
        <v>0</v>
      </c>
      <c r="O30" s="150">
        <f t="shared" si="6"/>
        <v>30000</v>
      </c>
      <c r="P30" s="145">
        <f t="shared" si="7"/>
        <v>15</v>
      </c>
      <c r="Q30" s="146">
        <f t="shared" si="5"/>
        <v>1</v>
      </c>
    </row>
    <row r="31" spans="1:17" x14ac:dyDescent="0.25">
      <c r="A31" t="s">
        <v>4</v>
      </c>
      <c r="B31" s="116">
        <v>15</v>
      </c>
      <c r="C31" s="17"/>
      <c r="D31" s="17"/>
      <c r="E31" s="17"/>
      <c r="F31" s="17"/>
      <c r="G31" s="17"/>
      <c r="H31" s="17"/>
      <c r="I31" s="17">
        <f>TRUNC(80*Q31*(1-L7)*(1-N31))</f>
        <v>80</v>
      </c>
      <c r="J31" s="17"/>
      <c r="K31" s="17"/>
      <c r="L31" s="18">
        <f>TRUNC(90*Q31*(1-L7)*(1-N31))</f>
        <v>90</v>
      </c>
      <c r="M31" s="127" t="s">
        <v>174</v>
      </c>
      <c r="N31" s="124">
        <v>0</v>
      </c>
      <c r="O31" s="150">
        <f t="shared" si="6"/>
        <v>30000</v>
      </c>
      <c r="P31" s="145">
        <f t="shared" si="7"/>
        <v>15</v>
      </c>
      <c r="Q31" s="146">
        <f t="shared" si="5"/>
        <v>1</v>
      </c>
    </row>
    <row r="32" spans="1:17" x14ac:dyDescent="0.25">
      <c r="A32" t="s">
        <v>5</v>
      </c>
      <c r="B32" s="116">
        <v>15</v>
      </c>
      <c r="C32" s="17"/>
      <c r="D32" s="17"/>
      <c r="E32" s="17"/>
      <c r="F32" s="17"/>
      <c r="G32" s="17"/>
      <c r="H32" s="17"/>
      <c r="I32" s="17"/>
      <c r="J32" s="17"/>
      <c r="K32" s="17">
        <f>TRUNC(170*Q32*(1-L7)*(1-N32))</f>
        <v>170</v>
      </c>
      <c r="L32" s="18"/>
      <c r="M32" s="127" t="s">
        <v>174</v>
      </c>
      <c r="N32" s="124">
        <v>0</v>
      </c>
      <c r="O32" s="150">
        <f t="shared" si="6"/>
        <v>30000</v>
      </c>
      <c r="P32" s="145">
        <f t="shared" si="7"/>
        <v>15</v>
      </c>
      <c r="Q32" s="146">
        <f t="shared" si="5"/>
        <v>1</v>
      </c>
    </row>
    <row r="33" spans="1:17" x14ac:dyDescent="0.25">
      <c r="A33" t="s">
        <v>6</v>
      </c>
      <c r="B33" s="116">
        <v>15</v>
      </c>
      <c r="C33" s="17">
        <f>TRUNC(40*Q33*(1-L7)*(1-N33))</f>
        <v>40</v>
      </c>
      <c r="D33" s="17"/>
      <c r="E33" s="17"/>
      <c r="F33" s="17">
        <f>TRUNC(130*Q33*(1-L7)*(1-N33))</f>
        <v>130</v>
      </c>
      <c r="G33" s="17"/>
      <c r="H33" s="17"/>
      <c r="I33" s="17"/>
      <c r="J33" s="17"/>
      <c r="K33" s="17"/>
      <c r="L33" s="18"/>
      <c r="M33" s="127" t="s">
        <v>174</v>
      </c>
      <c r="N33" s="124">
        <v>0</v>
      </c>
      <c r="O33" s="150">
        <f t="shared" si="6"/>
        <v>30000</v>
      </c>
      <c r="P33" s="145">
        <f t="shared" si="7"/>
        <v>15</v>
      </c>
      <c r="Q33" s="146">
        <f t="shared" si="5"/>
        <v>1</v>
      </c>
    </row>
    <row r="34" spans="1:17" ht="15.75" thickBot="1" x14ac:dyDescent="0.3">
      <c r="A34" t="s">
        <v>7</v>
      </c>
      <c r="B34" s="116">
        <v>15</v>
      </c>
      <c r="C34" s="17"/>
      <c r="D34" s="17">
        <f>TRUNC(70*Q34*(1-L7)*(1-N34))</f>
        <v>70</v>
      </c>
      <c r="E34" s="17"/>
      <c r="F34" s="17"/>
      <c r="G34" s="17"/>
      <c r="H34" s="17"/>
      <c r="I34" s="17"/>
      <c r="J34" s="17"/>
      <c r="K34" s="17"/>
      <c r="L34" s="18">
        <f>TRUNC(100*Q34*(1-L7)*(1-N34))</f>
        <v>100</v>
      </c>
      <c r="M34" s="127" t="s">
        <v>174</v>
      </c>
      <c r="N34" s="124">
        <v>0</v>
      </c>
      <c r="O34" s="150">
        <f t="shared" si="6"/>
        <v>30000</v>
      </c>
      <c r="P34" s="145">
        <f>IF(OR(M34="Possédée",M34="Assiégée"),B34,0)</f>
        <v>15</v>
      </c>
      <c r="Q34" s="146">
        <f t="shared" si="5"/>
        <v>1</v>
      </c>
    </row>
    <row r="35" spans="1:17" ht="15.75" thickBot="1" x14ac:dyDescent="0.3">
      <c r="A35" s="10" t="s">
        <v>23</v>
      </c>
      <c r="B35" s="117" t="s">
        <v>166</v>
      </c>
      <c r="C35" s="91" t="s">
        <v>8</v>
      </c>
      <c r="D35" s="92" t="s">
        <v>9</v>
      </c>
      <c r="E35" s="92" t="s">
        <v>10</v>
      </c>
      <c r="F35" s="92" t="s">
        <v>137</v>
      </c>
      <c r="G35" s="92" t="s">
        <v>11</v>
      </c>
      <c r="H35" s="92" t="s">
        <v>138</v>
      </c>
      <c r="I35" s="92" t="s">
        <v>139</v>
      </c>
      <c r="J35" s="92" t="s">
        <v>12</v>
      </c>
      <c r="K35" s="92" t="s">
        <v>13</v>
      </c>
      <c r="L35" s="93" t="s">
        <v>105</v>
      </c>
      <c r="M35" s="93"/>
      <c r="N35" s="93"/>
      <c r="O35" s="151"/>
      <c r="P35" s="147"/>
      <c r="Q35" s="148"/>
    </row>
    <row r="36" spans="1:17" x14ac:dyDescent="0.25">
      <c r="A36" t="s">
        <v>14</v>
      </c>
      <c r="B36" s="115">
        <v>15</v>
      </c>
      <c r="C36" s="19"/>
      <c r="D36" s="17"/>
      <c r="E36" s="17">
        <f>TRUNC(60*Q36*(1-L7)*(1-N36))</f>
        <v>0</v>
      </c>
      <c r="F36" s="17"/>
      <c r="G36" s="17">
        <f>TRUNC(150*Q36*(1-L7)*(1-N36))</f>
        <v>0</v>
      </c>
      <c r="H36" s="17"/>
      <c r="I36" s="17"/>
      <c r="J36" s="17"/>
      <c r="K36" s="17"/>
      <c r="L36" s="18"/>
      <c r="M36" s="127" t="s">
        <v>173</v>
      </c>
      <c r="N36" s="124">
        <v>0</v>
      </c>
      <c r="O36" s="149">
        <f>IF(E$6="Bordeciel",60000*Q36*(1-L$7)*(1-N36),30000*Q36*(1-L$7)*(1-N36))</f>
        <v>0</v>
      </c>
      <c r="P36" s="145">
        <f t="shared" si="7"/>
        <v>0</v>
      </c>
      <c r="Q36" s="146">
        <f t="shared" si="5"/>
        <v>0</v>
      </c>
    </row>
    <row r="37" spans="1:17" x14ac:dyDescent="0.25">
      <c r="A37" t="s">
        <v>15</v>
      </c>
      <c r="B37" s="116">
        <v>15</v>
      </c>
      <c r="C37" s="19"/>
      <c r="D37" s="17"/>
      <c r="E37" s="17"/>
      <c r="F37" s="17"/>
      <c r="G37" s="17"/>
      <c r="H37" s="17"/>
      <c r="I37" s="17"/>
      <c r="J37" s="17"/>
      <c r="K37" s="17">
        <f>TRUNC(170*Q37*(1-L7)*(1-N37))</f>
        <v>0</v>
      </c>
      <c r="L37" s="18"/>
      <c r="M37" s="127" t="s">
        <v>173</v>
      </c>
      <c r="N37" s="124">
        <v>0</v>
      </c>
      <c r="O37" s="150">
        <f>30000*Q37*(1-L$7)*(1-N37)</f>
        <v>0</v>
      </c>
      <c r="P37" s="145">
        <f t="shared" si="7"/>
        <v>0</v>
      </c>
      <c r="Q37" s="146">
        <f t="shared" si="5"/>
        <v>0</v>
      </c>
    </row>
    <row r="38" spans="1:17" x14ac:dyDescent="0.25">
      <c r="A38" t="s">
        <v>16</v>
      </c>
      <c r="B38" s="116">
        <v>15</v>
      </c>
      <c r="C38" s="19"/>
      <c r="D38" s="17">
        <f>TRUNC(130*Q38*(1-L7)*(1-N38))</f>
        <v>0</v>
      </c>
      <c r="E38" s="17"/>
      <c r="F38" s="17"/>
      <c r="G38" s="17">
        <f>TRUNC(40*Q38*(1-L7)*(1-N38))</f>
        <v>0</v>
      </c>
      <c r="H38" s="17"/>
      <c r="I38" s="17"/>
      <c r="J38" s="17"/>
      <c r="K38" s="17"/>
      <c r="L38" s="18"/>
      <c r="M38" s="127" t="s">
        <v>173</v>
      </c>
      <c r="N38" s="124">
        <v>0</v>
      </c>
      <c r="O38" s="150">
        <f t="shared" ref="O38:O43" si="8">30000*Q38*(1-L$7)*(1-N38)</f>
        <v>0</v>
      </c>
      <c r="P38" s="145">
        <f t="shared" si="7"/>
        <v>0</v>
      </c>
      <c r="Q38" s="146">
        <f t="shared" si="5"/>
        <v>0</v>
      </c>
    </row>
    <row r="39" spans="1:17" x14ac:dyDescent="0.25">
      <c r="A39" t="s">
        <v>17</v>
      </c>
      <c r="B39" s="116">
        <v>15</v>
      </c>
      <c r="C39" s="19">
        <f>TRUNC(70*Q39*(1-L7)*(1-N39))</f>
        <v>0</v>
      </c>
      <c r="D39" s="17">
        <f>TRUNC(60*Q39*(1-L7)*(1-N39))</f>
        <v>0</v>
      </c>
      <c r="E39" s="17">
        <f>TRUNC(40*Q39*(1-L7)*(1-N39))</f>
        <v>0</v>
      </c>
      <c r="F39" s="17"/>
      <c r="G39" s="17"/>
      <c r="H39" s="17"/>
      <c r="I39" s="17"/>
      <c r="J39" s="17"/>
      <c r="K39" s="17"/>
      <c r="L39" s="18"/>
      <c r="M39" s="127" t="s">
        <v>173</v>
      </c>
      <c r="N39" s="124">
        <v>0</v>
      </c>
      <c r="O39" s="150">
        <f t="shared" si="8"/>
        <v>0</v>
      </c>
      <c r="P39" s="145">
        <f t="shared" si="7"/>
        <v>0</v>
      </c>
      <c r="Q39" s="146">
        <f t="shared" si="5"/>
        <v>0</v>
      </c>
    </row>
    <row r="40" spans="1:17" x14ac:dyDescent="0.25">
      <c r="A40" t="s">
        <v>18</v>
      </c>
      <c r="B40" s="116">
        <v>15</v>
      </c>
      <c r="C40" s="19"/>
      <c r="D40" s="17">
        <f>TRUNC(20*Q40*(1-L7)*(1-N40))</f>
        <v>0</v>
      </c>
      <c r="E40" s="17"/>
      <c r="F40" s="17">
        <f>TRUNC(100*Q40*(1-L7)*(1-N40))</f>
        <v>0</v>
      </c>
      <c r="G40" s="17">
        <f>TRUNC(50*Q40*(1-L7)*(1-N40))</f>
        <v>0</v>
      </c>
      <c r="H40" s="17"/>
      <c r="I40" s="17"/>
      <c r="J40" s="17"/>
      <c r="K40" s="17"/>
      <c r="L40" s="18"/>
      <c r="M40" s="127" t="s">
        <v>173</v>
      </c>
      <c r="N40" s="124">
        <v>0</v>
      </c>
      <c r="O40" s="150">
        <f t="shared" si="8"/>
        <v>0</v>
      </c>
      <c r="P40" s="145">
        <f t="shared" si="7"/>
        <v>0</v>
      </c>
      <c r="Q40" s="146">
        <f t="shared" si="5"/>
        <v>0</v>
      </c>
    </row>
    <row r="41" spans="1:17" x14ac:dyDescent="0.25">
      <c r="A41" t="s">
        <v>19</v>
      </c>
      <c r="B41" s="116">
        <v>15</v>
      </c>
      <c r="C41" s="19"/>
      <c r="D41" s="17"/>
      <c r="E41" s="17"/>
      <c r="F41" s="17"/>
      <c r="G41" s="17">
        <f>TRUNC(170*Q41*(1-L7)*(1-N41))</f>
        <v>0</v>
      </c>
      <c r="H41" s="17"/>
      <c r="I41" s="17"/>
      <c r="J41" s="17"/>
      <c r="K41" s="17"/>
      <c r="L41" s="18"/>
      <c r="M41" s="127" t="s">
        <v>173</v>
      </c>
      <c r="N41" s="124">
        <v>0</v>
      </c>
      <c r="O41" s="150">
        <f t="shared" si="8"/>
        <v>0</v>
      </c>
      <c r="P41" s="145">
        <f t="shared" si="7"/>
        <v>0</v>
      </c>
      <c r="Q41" s="146">
        <f t="shared" si="5"/>
        <v>0</v>
      </c>
    </row>
    <row r="42" spans="1:17" x14ac:dyDescent="0.25">
      <c r="A42" t="s">
        <v>20</v>
      </c>
      <c r="B42" s="116">
        <v>15</v>
      </c>
      <c r="C42" s="19"/>
      <c r="D42" s="17"/>
      <c r="E42" s="17">
        <f>TRUNC(90*Q42*(1-L7)*(1-N42))</f>
        <v>0</v>
      </c>
      <c r="F42" s="17">
        <f>TRUNC(40*Q42*(1-L7)*(1-N42))</f>
        <v>0</v>
      </c>
      <c r="G42" s="17"/>
      <c r="H42" s="17"/>
      <c r="I42" s="17"/>
      <c r="J42" s="17"/>
      <c r="K42" s="17">
        <f>TRUNC(40*Q42*(1-L7)*(1-N42))</f>
        <v>0</v>
      </c>
      <c r="L42" s="18"/>
      <c r="M42" s="127" t="s">
        <v>173</v>
      </c>
      <c r="N42" s="124">
        <v>0</v>
      </c>
      <c r="O42" s="150">
        <f t="shared" si="8"/>
        <v>0</v>
      </c>
      <c r="P42" s="145">
        <f t="shared" si="7"/>
        <v>0</v>
      </c>
      <c r="Q42" s="146">
        <f t="shared" si="5"/>
        <v>0</v>
      </c>
    </row>
    <row r="43" spans="1:17" ht="15.75" thickBot="1" x14ac:dyDescent="0.3">
      <c r="A43" t="s">
        <v>21</v>
      </c>
      <c r="B43" s="116">
        <v>15</v>
      </c>
      <c r="C43" s="19"/>
      <c r="D43" s="17"/>
      <c r="E43" s="17"/>
      <c r="F43" s="17"/>
      <c r="G43" s="17">
        <f>TRUNC(70*Q43*(1-L7)*(1-N43))</f>
        <v>0</v>
      </c>
      <c r="H43" s="17"/>
      <c r="I43" s="17"/>
      <c r="J43" s="17"/>
      <c r="K43" s="17">
        <f>TRUNC(100*Q43*(1-L7)*(1-N43))</f>
        <v>0</v>
      </c>
      <c r="L43" s="18"/>
      <c r="M43" s="127" t="s">
        <v>173</v>
      </c>
      <c r="N43" s="124">
        <v>0</v>
      </c>
      <c r="O43" s="150">
        <f t="shared" si="8"/>
        <v>0</v>
      </c>
      <c r="P43" s="145">
        <f t="shared" si="7"/>
        <v>0</v>
      </c>
      <c r="Q43" s="146">
        <f t="shared" si="5"/>
        <v>0</v>
      </c>
    </row>
    <row r="44" spans="1:17" ht="15.75" thickBot="1" x14ac:dyDescent="0.3">
      <c r="A44" s="3" t="s">
        <v>24</v>
      </c>
      <c r="B44" s="117" t="s">
        <v>166</v>
      </c>
      <c r="C44" s="91" t="s">
        <v>8</v>
      </c>
      <c r="D44" s="92" t="s">
        <v>9</v>
      </c>
      <c r="E44" s="92" t="s">
        <v>10</v>
      </c>
      <c r="F44" s="92" t="s">
        <v>137</v>
      </c>
      <c r="G44" s="92" t="s">
        <v>11</v>
      </c>
      <c r="H44" s="92" t="s">
        <v>138</v>
      </c>
      <c r="I44" s="92" t="s">
        <v>139</v>
      </c>
      <c r="J44" s="92" t="s">
        <v>12</v>
      </c>
      <c r="K44" s="92" t="s">
        <v>13</v>
      </c>
      <c r="L44" s="93" t="s">
        <v>105</v>
      </c>
      <c r="M44" s="93"/>
      <c r="N44" s="93"/>
      <c r="O44" s="151"/>
      <c r="P44" s="147"/>
      <c r="Q44" s="148"/>
    </row>
    <row r="45" spans="1:17" x14ac:dyDescent="0.25">
      <c r="A45" t="s">
        <v>25</v>
      </c>
      <c r="B45" s="115">
        <v>15</v>
      </c>
      <c r="C45" s="15"/>
      <c r="D45" s="15">
        <f>TRUNC(20*Q45*(1-L7)*(1-N45))</f>
        <v>0</v>
      </c>
      <c r="E45" s="15"/>
      <c r="F45" s="15"/>
      <c r="G45" s="15"/>
      <c r="H45" s="15"/>
      <c r="I45" s="15">
        <f>TRUNC(150*Q45*(1-L7)*(1-N45))</f>
        <v>0</v>
      </c>
      <c r="J45" s="15"/>
      <c r="K45" s="15"/>
      <c r="L45" s="16">
        <f>TRUNC(40*Q45*(1-L7)*(1-N45))</f>
        <v>0</v>
      </c>
      <c r="M45" s="127" t="s">
        <v>173</v>
      </c>
      <c r="N45" s="124">
        <v>0</v>
      </c>
      <c r="O45" s="149">
        <f>IF(E$6="Cyrodiil",60000*Q45*(1-L$7)*(1-N45),30000*Q45*(1-L$7)*(1-N45))</f>
        <v>0</v>
      </c>
      <c r="P45" s="145">
        <f t="shared" si="7"/>
        <v>0</v>
      </c>
      <c r="Q45" s="146">
        <f t="shared" si="5"/>
        <v>0</v>
      </c>
    </row>
    <row r="46" spans="1:17" x14ac:dyDescent="0.25">
      <c r="A46" t="s">
        <v>27</v>
      </c>
      <c r="B46" s="116">
        <v>15</v>
      </c>
      <c r="C46" s="17"/>
      <c r="D46" s="17">
        <f>TRUNC(120*Q46*(1-L7)*(1-N46))</f>
        <v>0</v>
      </c>
      <c r="E46" s="17">
        <f>TRUNC(50*Q46*(1-L7)*(1-N46))</f>
        <v>0</v>
      </c>
      <c r="F46" s="17"/>
      <c r="G46" s="17"/>
      <c r="H46" s="17"/>
      <c r="I46" s="17"/>
      <c r="J46" s="17"/>
      <c r="K46" s="17"/>
      <c r="L46" s="18"/>
      <c r="M46" s="127" t="s">
        <v>173</v>
      </c>
      <c r="N46" s="124">
        <v>0</v>
      </c>
      <c r="O46" s="150">
        <f>30000*Q46*(1-L$7)*(1-N46)</f>
        <v>0</v>
      </c>
      <c r="P46" s="145">
        <f t="shared" si="7"/>
        <v>0</v>
      </c>
      <c r="Q46" s="146">
        <f t="shared" si="5"/>
        <v>0</v>
      </c>
    </row>
    <row r="47" spans="1:17" x14ac:dyDescent="0.25">
      <c r="A47" t="s">
        <v>26</v>
      </c>
      <c r="B47" s="116">
        <v>15</v>
      </c>
      <c r="C47" s="17"/>
      <c r="D47" s="17">
        <f>TRUNC(60*Q47*(1-L7)*(1-N47))</f>
        <v>0</v>
      </c>
      <c r="E47" s="17">
        <f>TRUNC(110*Q47*(1-L7)*(1-N47))</f>
        <v>0</v>
      </c>
      <c r="F47" s="17"/>
      <c r="G47" s="17"/>
      <c r="H47" s="17"/>
      <c r="I47" s="17"/>
      <c r="J47" s="17"/>
      <c r="K47" s="17"/>
      <c r="L47" s="18"/>
      <c r="M47" s="127" t="s">
        <v>173</v>
      </c>
      <c r="N47" s="124">
        <v>0</v>
      </c>
      <c r="O47" s="150">
        <f>30000*Q47*(1-L$7)*(1-N47)</f>
        <v>0</v>
      </c>
      <c r="P47" s="145">
        <f t="shared" si="7"/>
        <v>0</v>
      </c>
      <c r="Q47" s="146">
        <f t="shared" si="5"/>
        <v>0</v>
      </c>
    </row>
    <row r="48" spans="1:17" x14ac:dyDescent="0.25">
      <c r="A48" t="s">
        <v>28</v>
      </c>
      <c r="B48" s="116">
        <v>15</v>
      </c>
      <c r="C48" s="17"/>
      <c r="D48" s="17">
        <f>TRUNC(170*Q48*(1-L7)*(1-N48))</f>
        <v>0</v>
      </c>
      <c r="E48" s="17"/>
      <c r="F48" s="17"/>
      <c r="G48" s="17"/>
      <c r="H48" s="17"/>
      <c r="I48" s="17"/>
      <c r="J48" s="17"/>
      <c r="K48" s="17"/>
      <c r="L48" s="18"/>
      <c r="M48" s="127" t="s">
        <v>173</v>
      </c>
      <c r="N48" s="124">
        <v>0</v>
      </c>
      <c r="O48" s="150">
        <f t="shared" ref="O48:O53" si="9">30000*Q48*(1-L$7)*(1-N48)</f>
        <v>0</v>
      </c>
      <c r="P48" s="145">
        <f t="shared" si="7"/>
        <v>0</v>
      </c>
      <c r="Q48" s="146">
        <f t="shared" si="5"/>
        <v>0</v>
      </c>
    </row>
    <row r="49" spans="1:17" x14ac:dyDescent="0.25">
      <c r="A49" t="s">
        <v>29</v>
      </c>
      <c r="B49" s="116">
        <v>15</v>
      </c>
      <c r="C49" s="17"/>
      <c r="D49" s="17"/>
      <c r="E49" s="17"/>
      <c r="F49" s="17"/>
      <c r="G49" s="17"/>
      <c r="H49" s="17"/>
      <c r="I49" s="17"/>
      <c r="J49" s="17">
        <f>TRUNC(170*Q49*(1-L7)*(1-N49))</f>
        <v>0</v>
      </c>
      <c r="K49" s="17"/>
      <c r="L49" s="18"/>
      <c r="M49" s="127" t="s">
        <v>173</v>
      </c>
      <c r="N49" s="124">
        <v>0</v>
      </c>
      <c r="O49" s="150">
        <f t="shared" si="9"/>
        <v>0</v>
      </c>
      <c r="P49" s="145">
        <f t="shared" si="7"/>
        <v>0</v>
      </c>
      <c r="Q49" s="146">
        <f t="shared" si="5"/>
        <v>0</v>
      </c>
    </row>
    <row r="50" spans="1:17" x14ac:dyDescent="0.25">
      <c r="A50" t="s">
        <v>58</v>
      </c>
      <c r="B50" s="116">
        <v>15</v>
      </c>
      <c r="C50" s="17">
        <f>TRUNC(170*Q50*(1-L7)*(1-N50))</f>
        <v>0</v>
      </c>
      <c r="D50" s="17"/>
      <c r="E50" s="17"/>
      <c r="F50" s="17"/>
      <c r="G50" s="17"/>
      <c r="H50" s="17"/>
      <c r="I50" s="17"/>
      <c r="J50" s="17"/>
      <c r="K50" s="17"/>
      <c r="L50" s="18"/>
      <c r="M50" s="127" t="s">
        <v>173</v>
      </c>
      <c r="N50" s="124">
        <v>0</v>
      </c>
      <c r="O50" s="150">
        <f t="shared" si="9"/>
        <v>0</v>
      </c>
      <c r="P50" s="145">
        <f t="shared" si="7"/>
        <v>0</v>
      </c>
      <c r="Q50" s="146">
        <f t="shared" si="5"/>
        <v>0</v>
      </c>
    </row>
    <row r="51" spans="1:17" x14ac:dyDescent="0.25">
      <c r="A51" t="s">
        <v>30</v>
      </c>
      <c r="B51" s="116">
        <v>15</v>
      </c>
      <c r="C51" s="17">
        <f>TRUNC(100*Q51*(1-L7)*(1-N51))</f>
        <v>0</v>
      </c>
      <c r="D51" s="17"/>
      <c r="E51" s="17"/>
      <c r="F51" s="17"/>
      <c r="G51" s="17"/>
      <c r="H51" s="17"/>
      <c r="I51" s="17"/>
      <c r="J51" s="17">
        <f>TRUNC(70*Q51*(1-L7)*(1-N51))</f>
        <v>0</v>
      </c>
      <c r="K51" s="17"/>
      <c r="L51" s="18"/>
      <c r="M51" s="127" t="s">
        <v>173</v>
      </c>
      <c r="N51" s="124">
        <v>0</v>
      </c>
      <c r="O51" s="150">
        <f t="shared" si="9"/>
        <v>0</v>
      </c>
      <c r="P51" s="145">
        <f t="shared" si="7"/>
        <v>0</v>
      </c>
      <c r="Q51" s="146">
        <f t="shared" si="5"/>
        <v>0</v>
      </c>
    </row>
    <row r="52" spans="1:17" x14ac:dyDescent="0.25">
      <c r="A52" t="s">
        <v>31</v>
      </c>
      <c r="B52" s="116">
        <v>15</v>
      </c>
      <c r="C52" s="17">
        <f>TRUNC(90*Q52*(1-L7)*(1-N52))</f>
        <v>0</v>
      </c>
      <c r="D52" s="17"/>
      <c r="E52" s="17">
        <f>TRUNC(40*Q52*(1-L7)*(1-N52))</f>
        <v>0</v>
      </c>
      <c r="F52" s="17">
        <f>TRUNC(40*Q52*(1-L7)*(1-N52))</f>
        <v>0</v>
      </c>
      <c r="G52" s="17"/>
      <c r="H52" s="17"/>
      <c r="I52" s="17"/>
      <c r="J52" s="17"/>
      <c r="K52" s="17"/>
      <c r="L52" s="18"/>
      <c r="M52" s="127" t="s">
        <v>173</v>
      </c>
      <c r="N52" s="124">
        <v>0</v>
      </c>
      <c r="O52" s="150">
        <f t="shared" si="9"/>
        <v>0</v>
      </c>
      <c r="P52" s="145">
        <f t="shared" si="7"/>
        <v>0</v>
      </c>
      <c r="Q52" s="146">
        <f t="shared" si="5"/>
        <v>0</v>
      </c>
    </row>
    <row r="53" spans="1:17" ht="15.75" thickBot="1" x14ac:dyDescent="0.3">
      <c r="A53" t="s">
        <v>32</v>
      </c>
      <c r="B53" s="118">
        <v>15</v>
      </c>
      <c r="C53" s="20">
        <f>TRUNC(110*Q53*(1-L7)*(1-N53))</f>
        <v>0</v>
      </c>
      <c r="D53" s="21"/>
      <c r="E53" s="21"/>
      <c r="F53" s="21"/>
      <c r="G53" s="21"/>
      <c r="H53" s="21">
        <f>TRUNC(60*Q53*(1-L7)*(1-N53))</f>
        <v>0</v>
      </c>
      <c r="I53" s="21"/>
      <c r="J53" s="21"/>
      <c r="K53" s="21"/>
      <c r="L53" s="22"/>
      <c r="M53" s="127" t="s">
        <v>173</v>
      </c>
      <c r="N53" s="124">
        <v>0</v>
      </c>
      <c r="O53" s="150">
        <f t="shared" si="9"/>
        <v>0</v>
      </c>
      <c r="P53" s="145">
        <f t="shared" si="7"/>
        <v>0</v>
      </c>
      <c r="Q53" s="146">
        <f t="shared" si="5"/>
        <v>0</v>
      </c>
    </row>
    <row r="54" spans="1:17" ht="15.75" thickBot="1" x14ac:dyDescent="0.3">
      <c r="A54" s="3" t="s">
        <v>33</v>
      </c>
      <c r="B54" s="117" t="s">
        <v>166</v>
      </c>
      <c r="C54" s="91" t="s">
        <v>8</v>
      </c>
      <c r="D54" s="92" t="s">
        <v>9</v>
      </c>
      <c r="E54" s="92" t="s">
        <v>10</v>
      </c>
      <c r="F54" s="92" t="s">
        <v>137</v>
      </c>
      <c r="G54" s="92" t="s">
        <v>11</v>
      </c>
      <c r="H54" s="92" t="s">
        <v>138</v>
      </c>
      <c r="I54" s="92" t="s">
        <v>139</v>
      </c>
      <c r="J54" s="92" t="s">
        <v>12</v>
      </c>
      <c r="K54" s="92" t="s">
        <v>13</v>
      </c>
      <c r="L54" s="93" t="s">
        <v>105</v>
      </c>
      <c r="M54" s="93"/>
      <c r="N54" s="93"/>
      <c r="O54" s="151"/>
      <c r="P54" s="147"/>
      <c r="Q54" s="148"/>
    </row>
    <row r="55" spans="1:17" x14ac:dyDescent="0.25">
      <c r="A55" t="s">
        <v>34</v>
      </c>
      <c r="B55" s="115">
        <v>15</v>
      </c>
      <c r="C55" s="15"/>
      <c r="D55" s="15">
        <f>TRUNC(150*Q55*(1-L7)*(1-N55))</f>
        <v>0</v>
      </c>
      <c r="E55" s="15"/>
      <c r="F55" s="15"/>
      <c r="G55" s="15"/>
      <c r="H55" s="15"/>
      <c r="I55" s="15"/>
      <c r="J55" s="15">
        <f>TRUNC(60*Q55*(1-L7)*(1-N55))</f>
        <v>0</v>
      </c>
      <c r="K55" s="15"/>
      <c r="L55" s="16"/>
      <c r="M55" s="127" t="s">
        <v>173</v>
      </c>
      <c r="N55" s="124">
        <v>0</v>
      </c>
      <c r="O55" s="149">
        <f>IF(E$6="Elsweyr",60000*Q55*(1-L$7)*(1-N55),30000*Q55*(1-L$7)*(1-N55))</f>
        <v>0</v>
      </c>
      <c r="P55" s="145">
        <f t="shared" si="7"/>
        <v>0</v>
      </c>
      <c r="Q55" s="146">
        <f t="shared" si="5"/>
        <v>0</v>
      </c>
    </row>
    <row r="56" spans="1:17" x14ac:dyDescent="0.25">
      <c r="A56" t="s">
        <v>35</v>
      </c>
      <c r="B56" s="116">
        <v>15</v>
      </c>
      <c r="C56" s="17"/>
      <c r="D56" s="17"/>
      <c r="E56" s="17"/>
      <c r="F56" s="17">
        <f>TRUNC(70*Q56*(1-L7)*(1-N56))</f>
        <v>0</v>
      </c>
      <c r="G56" s="17"/>
      <c r="H56" s="17">
        <f>TRUNC(100*Q56*(1-L7)*(1-N56))</f>
        <v>0</v>
      </c>
      <c r="I56" s="17"/>
      <c r="J56" s="17"/>
      <c r="K56" s="17"/>
      <c r="L56" s="18"/>
      <c r="M56" s="127" t="s">
        <v>173</v>
      </c>
      <c r="N56" s="124">
        <v>0</v>
      </c>
      <c r="O56" s="150">
        <f t="shared" ref="O56:O61" si="10">30000*Q56*(1-L$7)*(1-N56)</f>
        <v>0</v>
      </c>
      <c r="P56" s="145">
        <f t="shared" si="7"/>
        <v>0</v>
      </c>
      <c r="Q56" s="146">
        <f t="shared" si="5"/>
        <v>0</v>
      </c>
    </row>
    <row r="57" spans="1:17" x14ac:dyDescent="0.25">
      <c r="A57" t="s">
        <v>36</v>
      </c>
      <c r="B57" s="116">
        <v>15</v>
      </c>
      <c r="C57" s="17"/>
      <c r="D57" s="17"/>
      <c r="E57" s="17"/>
      <c r="F57" s="17"/>
      <c r="G57" s="17"/>
      <c r="H57" s="17"/>
      <c r="I57" s="17"/>
      <c r="J57" s="17">
        <f>TRUNC(170*Q57*(1-L7)*(1-N57))</f>
        <v>0</v>
      </c>
      <c r="K57" s="17"/>
      <c r="L57" s="18"/>
      <c r="M57" s="127" t="s">
        <v>173</v>
      </c>
      <c r="N57" s="124">
        <v>0</v>
      </c>
      <c r="O57" s="150">
        <f t="shared" si="10"/>
        <v>0</v>
      </c>
      <c r="P57" s="145">
        <f t="shared" si="7"/>
        <v>0</v>
      </c>
      <c r="Q57" s="146">
        <f t="shared" si="5"/>
        <v>0</v>
      </c>
    </row>
    <row r="58" spans="1:17" x14ac:dyDescent="0.25">
      <c r="A58" t="s">
        <v>37</v>
      </c>
      <c r="B58" s="116">
        <v>15</v>
      </c>
      <c r="C58" s="17"/>
      <c r="D58" s="17"/>
      <c r="E58" s="17"/>
      <c r="F58" s="17"/>
      <c r="G58" s="17"/>
      <c r="H58" s="17">
        <f>TRUNC(170*Q58*(1-L7)*(1-N58))</f>
        <v>0</v>
      </c>
      <c r="I58" s="17"/>
      <c r="J58" s="17"/>
      <c r="K58" s="17"/>
      <c r="L58" s="18"/>
      <c r="M58" s="127" t="s">
        <v>173</v>
      </c>
      <c r="N58" s="124">
        <v>0</v>
      </c>
      <c r="O58" s="150">
        <f t="shared" si="10"/>
        <v>0</v>
      </c>
      <c r="P58" s="145">
        <f t="shared" si="7"/>
        <v>0</v>
      </c>
      <c r="Q58" s="146">
        <f t="shared" si="5"/>
        <v>0</v>
      </c>
    </row>
    <row r="59" spans="1:17" x14ac:dyDescent="0.25">
      <c r="A59" t="s">
        <v>38</v>
      </c>
      <c r="B59" s="116">
        <v>15</v>
      </c>
      <c r="C59" s="17"/>
      <c r="D59" s="17"/>
      <c r="E59" s="17"/>
      <c r="F59" s="17">
        <f>TRUNC(130*Q59*(1-L7)*(1-N59))</f>
        <v>0</v>
      </c>
      <c r="G59" s="17"/>
      <c r="H59" s="17"/>
      <c r="I59" s="17"/>
      <c r="J59" s="17">
        <f>TRUNC(40*Q59*(1-L7)*(1-N59))</f>
        <v>0</v>
      </c>
      <c r="K59" s="17"/>
      <c r="L59" s="18"/>
      <c r="M59" s="127" t="s">
        <v>173</v>
      </c>
      <c r="N59" s="124">
        <v>0</v>
      </c>
      <c r="O59" s="150">
        <f t="shared" si="10"/>
        <v>0</v>
      </c>
      <c r="P59" s="145">
        <f t="shared" si="7"/>
        <v>0</v>
      </c>
      <c r="Q59" s="146">
        <f t="shared" si="5"/>
        <v>0</v>
      </c>
    </row>
    <row r="60" spans="1:17" x14ac:dyDescent="0.25">
      <c r="A60" t="s">
        <v>39</v>
      </c>
      <c r="B60" s="116">
        <v>15</v>
      </c>
      <c r="C60" s="17"/>
      <c r="D60" s="17"/>
      <c r="E60" s="17"/>
      <c r="F60" s="17"/>
      <c r="G60" s="17"/>
      <c r="H60" s="17"/>
      <c r="I60" s="17"/>
      <c r="J60" s="17">
        <f>TRUNC(60*Q60*(1-L7)*(1-N60))</f>
        <v>0</v>
      </c>
      <c r="K60" s="17"/>
      <c r="L60" s="18">
        <f>TRUNC(110*Q60*(1-L7)*(1-N60))</f>
        <v>0</v>
      </c>
      <c r="M60" s="127" t="s">
        <v>173</v>
      </c>
      <c r="N60" s="124">
        <v>0</v>
      </c>
      <c r="O60" s="150">
        <f t="shared" si="10"/>
        <v>0</v>
      </c>
      <c r="P60" s="145">
        <f t="shared" si="7"/>
        <v>0</v>
      </c>
      <c r="Q60" s="146">
        <f t="shared" si="5"/>
        <v>0</v>
      </c>
    </row>
    <row r="61" spans="1:17" ht="15.75" thickBot="1" x14ac:dyDescent="0.3">
      <c r="A61" t="s">
        <v>40</v>
      </c>
      <c r="B61" s="116">
        <v>15</v>
      </c>
      <c r="C61" s="17">
        <f>TRUNC(30*Q61*(1-L7)*(1-N61))</f>
        <v>0</v>
      </c>
      <c r="D61" s="17"/>
      <c r="E61" s="17">
        <f>TRUNC(60*Q61*(1-L7)*(1-N61))</f>
        <v>0</v>
      </c>
      <c r="F61" s="17"/>
      <c r="G61" s="17"/>
      <c r="H61" s="17"/>
      <c r="I61" s="17"/>
      <c r="J61" s="17">
        <f>TRUNC(80*Q61*(1-L7)*(1-N61))</f>
        <v>0</v>
      </c>
      <c r="K61" s="17"/>
      <c r="L61" s="18"/>
      <c r="M61" s="127" t="s">
        <v>173</v>
      </c>
      <c r="N61" s="124">
        <v>0</v>
      </c>
      <c r="O61" s="150">
        <f t="shared" si="10"/>
        <v>0</v>
      </c>
      <c r="P61" s="145">
        <f t="shared" si="7"/>
        <v>0</v>
      </c>
      <c r="Q61" s="146">
        <f t="shared" si="5"/>
        <v>0</v>
      </c>
    </row>
    <row r="62" spans="1:17" ht="15.75" thickBot="1" x14ac:dyDescent="0.3">
      <c r="A62" s="3" t="s">
        <v>41</v>
      </c>
      <c r="B62" s="117" t="s">
        <v>166</v>
      </c>
      <c r="C62" s="91" t="s">
        <v>8</v>
      </c>
      <c r="D62" s="92" t="s">
        <v>9</v>
      </c>
      <c r="E62" s="92" t="s">
        <v>10</v>
      </c>
      <c r="F62" s="92" t="s">
        <v>137</v>
      </c>
      <c r="G62" s="92" t="s">
        <v>11</v>
      </c>
      <c r="H62" s="92" t="s">
        <v>138</v>
      </c>
      <c r="I62" s="92" t="s">
        <v>139</v>
      </c>
      <c r="J62" s="92" t="s">
        <v>12</v>
      </c>
      <c r="K62" s="92" t="s">
        <v>13</v>
      </c>
      <c r="L62" s="93" t="s">
        <v>105</v>
      </c>
      <c r="M62" s="93"/>
      <c r="N62" s="93"/>
      <c r="O62" s="151"/>
      <c r="P62" s="147"/>
      <c r="Q62" s="148"/>
    </row>
    <row r="63" spans="1:17" x14ac:dyDescent="0.25">
      <c r="A63" t="s">
        <v>42</v>
      </c>
      <c r="B63" s="115">
        <v>15</v>
      </c>
      <c r="C63" s="15"/>
      <c r="D63" s="15">
        <f>TRUNC(60*Q63*(1-L7)*(1-N63))</f>
        <v>0</v>
      </c>
      <c r="E63" s="15"/>
      <c r="F63" s="15"/>
      <c r="G63" s="15"/>
      <c r="H63" s="15"/>
      <c r="I63" s="15"/>
      <c r="J63" s="15"/>
      <c r="K63" s="15"/>
      <c r="L63" s="16">
        <f>TRUNC(150*Q63*(1-L7)*(1-N63))</f>
        <v>0</v>
      </c>
      <c r="M63" s="127" t="s">
        <v>173</v>
      </c>
      <c r="N63" s="124">
        <v>0</v>
      </c>
      <c r="O63" s="149">
        <f>IF(E$6="Hauteroche",60000*Q63*(1-L$7)*(1-N63),30000*Q63*(1-L$7)*(1-N63))</f>
        <v>0</v>
      </c>
      <c r="P63" s="145">
        <f t="shared" si="7"/>
        <v>0</v>
      </c>
      <c r="Q63" s="146">
        <f t="shared" si="5"/>
        <v>0</v>
      </c>
    </row>
    <row r="64" spans="1:17" x14ac:dyDescent="0.25">
      <c r="A64" t="s">
        <v>43</v>
      </c>
      <c r="B64" s="116">
        <v>15</v>
      </c>
      <c r="C64" s="17"/>
      <c r="D64" s="17">
        <f>TRUNC(70*Q64*(1-L7)*(1-N64))</f>
        <v>0</v>
      </c>
      <c r="E64" s="17"/>
      <c r="F64" s="17"/>
      <c r="G64" s="17"/>
      <c r="H64" s="17"/>
      <c r="I64" s="17"/>
      <c r="J64" s="17"/>
      <c r="K64" s="17"/>
      <c r="L64" s="18">
        <f>TRUNC(100*Q64*(1-L7)*(1-N64))</f>
        <v>0</v>
      </c>
      <c r="M64" s="127" t="s">
        <v>173</v>
      </c>
      <c r="N64" s="124">
        <v>0</v>
      </c>
      <c r="O64" s="150">
        <f t="shared" ref="O64:O70" si="11">30000*Q64*(1-L$7)*(1-N64)</f>
        <v>0</v>
      </c>
      <c r="P64" s="145">
        <f t="shared" si="7"/>
        <v>0</v>
      </c>
      <c r="Q64" s="146">
        <f t="shared" si="5"/>
        <v>0</v>
      </c>
    </row>
    <row r="65" spans="1:17" x14ac:dyDescent="0.25">
      <c r="A65" t="s">
        <v>44</v>
      </c>
      <c r="B65" s="116">
        <v>15</v>
      </c>
      <c r="C65" s="17"/>
      <c r="D65" s="17">
        <f>TRUNC(80*Q65*(1-L7)*(1-N65))</f>
        <v>0</v>
      </c>
      <c r="E65" s="17">
        <f>TRUNC(20*Q65*(1-L7)*(1-N65))</f>
        <v>0</v>
      </c>
      <c r="F65" s="17"/>
      <c r="G65" s="17"/>
      <c r="H65" s="17"/>
      <c r="I65" s="17"/>
      <c r="J65" s="17"/>
      <c r="K65" s="17">
        <f>TRUNC(70*Q65*(1-L7)*(1-N65))</f>
        <v>0</v>
      </c>
      <c r="L65" s="18"/>
      <c r="M65" s="127" t="s">
        <v>173</v>
      </c>
      <c r="N65" s="124">
        <v>0</v>
      </c>
      <c r="O65" s="150">
        <f t="shared" si="11"/>
        <v>0</v>
      </c>
      <c r="P65" s="145">
        <f t="shared" si="7"/>
        <v>0</v>
      </c>
      <c r="Q65" s="146">
        <f t="shared" si="5"/>
        <v>0</v>
      </c>
    </row>
    <row r="66" spans="1:17" x14ac:dyDescent="0.25">
      <c r="A66" t="s">
        <v>45</v>
      </c>
      <c r="B66" s="116">
        <v>15</v>
      </c>
      <c r="C66" s="17">
        <f>TRUNC(100*Q66*(1-L7)*(1-N66))</f>
        <v>0</v>
      </c>
      <c r="D66" s="17">
        <f>TRUNC(70*Q66*(1-L7)*(1-N66))</f>
        <v>0</v>
      </c>
      <c r="E66" s="17"/>
      <c r="F66" s="17"/>
      <c r="G66" s="17"/>
      <c r="H66" s="17"/>
      <c r="I66" s="17"/>
      <c r="J66" s="17"/>
      <c r="K66" s="17"/>
      <c r="L66" s="18"/>
      <c r="M66" s="127" t="s">
        <v>173</v>
      </c>
      <c r="N66" s="124">
        <v>0</v>
      </c>
      <c r="O66" s="150">
        <f t="shared" si="11"/>
        <v>0</v>
      </c>
      <c r="P66" s="145">
        <f t="shared" si="7"/>
        <v>0</v>
      </c>
      <c r="Q66" s="146">
        <f t="shared" si="5"/>
        <v>0</v>
      </c>
    </row>
    <row r="67" spans="1:17" x14ac:dyDescent="0.25">
      <c r="A67" t="s">
        <v>46</v>
      </c>
      <c r="B67" s="116">
        <v>15</v>
      </c>
      <c r="C67" s="17">
        <f>TRUNC(120*Q67*(1-L7)*(1-N67))</f>
        <v>0</v>
      </c>
      <c r="D67" s="17">
        <f>TRUNC(50*Q67*(1-L7)*(1-N67))</f>
        <v>0</v>
      </c>
      <c r="E67" s="17"/>
      <c r="F67" s="17"/>
      <c r="G67" s="17"/>
      <c r="H67" s="17"/>
      <c r="I67" s="17"/>
      <c r="J67" s="17"/>
      <c r="K67" s="17"/>
      <c r="L67" s="18"/>
      <c r="M67" s="127" t="s">
        <v>173</v>
      </c>
      <c r="N67" s="124">
        <v>0</v>
      </c>
      <c r="O67" s="150">
        <f t="shared" si="11"/>
        <v>0</v>
      </c>
      <c r="P67" s="145">
        <f t="shared" si="7"/>
        <v>0</v>
      </c>
      <c r="Q67" s="146">
        <f t="shared" si="5"/>
        <v>0</v>
      </c>
    </row>
    <row r="68" spans="1:17" x14ac:dyDescent="0.25">
      <c r="A68" t="s">
        <v>47</v>
      </c>
      <c r="B68" s="116">
        <v>15</v>
      </c>
      <c r="C68" s="17"/>
      <c r="D68" s="17"/>
      <c r="E68" s="17"/>
      <c r="F68" s="17"/>
      <c r="G68" s="17">
        <f>TRUNC(100*Q68*(1-L7)*(1-N68))</f>
        <v>0</v>
      </c>
      <c r="H68" s="17"/>
      <c r="I68" s="17"/>
      <c r="J68" s="17"/>
      <c r="K68" s="17"/>
      <c r="L68" s="18">
        <f>TRUNC(70*Q68*(1-L7)*(1-N68))</f>
        <v>0</v>
      </c>
      <c r="M68" s="127" t="s">
        <v>173</v>
      </c>
      <c r="N68" s="124">
        <v>0</v>
      </c>
      <c r="O68" s="150">
        <f t="shared" si="11"/>
        <v>0</v>
      </c>
      <c r="P68" s="145">
        <f t="shared" si="7"/>
        <v>0</v>
      </c>
      <c r="Q68" s="146">
        <f t="shared" si="5"/>
        <v>0</v>
      </c>
    </row>
    <row r="69" spans="1:17" x14ac:dyDescent="0.25">
      <c r="A69" t="s">
        <v>48</v>
      </c>
      <c r="B69" s="116">
        <v>15</v>
      </c>
      <c r="C69" s="17"/>
      <c r="D69" s="17">
        <f>TRUNC(90*Q69*(1-L7)*(1-N69))</f>
        <v>0</v>
      </c>
      <c r="E69" s="17"/>
      <c r="F69" s="17"/>
      <c r="G69" s="17"/>
      <c r="H69" s="17">
        <f>TRUNC(80*Q69*(1-L7)*(1-N69))</f>
        <v>0</v>
      </c>
      <c r="I69" s="17"/>
      <c r="J69" s="17"/>
      <c r="K69" s="17"/>
      <c r="L69" s="18"/>
      <c r="M69" s="127" t="s">
        <v>173</v>
      </c>
      <c r="N69" s="124">
        <v>0</v>
      </c>
      <c r="O69" s="150">
        <f t="shared" si="11"/>
        <v>0</v>
      </c>
      <c r="P69" s="145">
        <f t="shared" si="7"/>
        <v>0</v>
      </c>
      <c r="Q69" s="146">
        <f t="shared" si="5"/>
        <v>0</v>
      </c>
    </row>
    <row r="70" spans="1:17" ht="15.75" thickBot="1" x14ac:dyDescent="0.3">
      <c r="A70" t="s">
        <v>104</v>
      </c>
      <c r="B70" s="116">
        <v>15</v>
      </c>
      <c r="C70" s="17"/>
      <c r="D70" s="17"/>
      <c r="E70" s="17"/>
      <c r="F70" s="17"/>
      <c r="G70" s="17">
        <f>TRUNC(70*Q70*(1-L7)*(1-N70))</f>
        <v>0</v>
      </c>
      <c r="H70" s="17">
        <f>TRUNC(100*Q70*(1-L7)*(1-N70))</f>
        <v>0</v>
      </c>
      <c r="I70" s="17"/>
      <c r="J70" s="17"/>
      <c r="K70" s="17"/>
      <c r="L70" s="18"/>
      <c r="M70" s="127" t="s">
        <v>173</v>
      </c>
      <c r="N70" s="124">
        <v>0</v>
      </c>
      <c r="O70" s="150">
        <f t="shared" si="11"/>
        <v>0</v>
      </c>
      <c r="P70" s="145">
        <f t="shared" si="7"/>
        <v>0</v>
      </c>
      <c r="Q70" s="146">
        <f t="shared" si="5"/>
        <v>0</v>
      </c>
    </row>
    <row r="71" spans="1:17" ht="15.75" thickBot="1" x14ac:dyDescent="0.3">
      <c r="A71" s="3" t="s">
        <v>49</v>
      </c>
      <c r="B71" s="117" t="s">
        <v>166</v>
      </c>
      <c r="C71" s="91" t="s">
        <v>8</v>
      </c>
      <c r="D71" s="92" t="s">
        <v>9</v>
      </c>
      <c r="E71" s="92" t="s">
        <v>10</v>
      </c>
      <c r="F71" s="92" t="s">
        <v>137</v>
      </c>
      <c r="G71" s="92" t="s">
        <v>11</v>
      </c>
      <c r="H71" s="92" t="s">
        <v>138</v>
      </c>
      <c r="I71" s="92" t="s">
        <v>139</v>
      </c>
      <c r="J71" s="92" t="s">
        <v>12</v>
      </c>
      <c r="K71" s="92" t="s">
        <v>13</v>
      </c>
      <c r="L71" s="93" t="s">
        <v>105</v>
      </c>
      <c r="M71" s="93"/>
      <c r="N71" s="93"/>
      <c r="O71" s="151"/>
      <c r="P71" s="147"/>
      <c r="Q71" s="148"/>
    </row>
    <row r="72" spans="1:17" x14ac:dyDescent="0.25">
      <c r="A72" t="s">
        <v>50</v>
      </c>
      <c r="B72" s="115">
        <v>15</v>
      </c>
      <c r="C72" s="15"/>
      <c r="D72" s="15"/>
      <c r="E72" s="15"/>
      <c r="F72" s="15">
        <f>TRUNC(110*Q72*(1-L7)*(1-N72))</f>
        <v>0</v>
      </c>
      <c r="G72" s="15"/>
      <c r="H72" s="15"/>
      <c r="I72" s="15">
        <f>TRUNC(100*Q72*(1-L7)*(1-N72))</f>
        <v>0</v>
      </c>
      <c r="J72" s="15"/>
      <c r="K72" s="15"/>
      <c r="L72" s="16"/>
      <c r="M72" s="127" t="s">
        <v>173</v>
      </c>
      <c r="N72" s="124">
        <v>0</v>
      </c>
      <c r="O72" s="149">
        <f>IF(E$6="Lenclume",60000*Q72*(1-L$7)*(1-N72),30000*Q72*(1-L$7)*(1-N72))</f>
        <v>0</v>
      </c>
      <c r="P72" s="145">
        <f t="shared" si="7"/>
        <v>0</v>
      </c>
      <c r="Q72" s="146">
        <f t="shared" si="5"/>
        <v>0</v>
      </c>
    </row>
    <row r="73" spans="1:17" x14ac:dyDescent="0.25">
      <c r="A73" t="s">
        <v>51</v>
      </c>
      <c r="B73" s="116">
        <v>15</v>
      </c>
      <c r="C73" s="17"/>
      <c r="D73" s="17"/>
      <c r="E73" s="17"/>
      <c r="F73" s="17"/>
      <c r="G73" s="17">
        <f>TRUNC(60*Q73*(1-L7)*(1-N73))</f>
        <v>0</v>
      </c>
      <c r="H73" s="17"/>
      <c r="I73" s="17"/>
      <c r="J73" s="17">
        <f>TRUNC(110*Q73*(1-L7)*(1-N73))</f>
        <v>0</v>
      </c>
      <c r="K73" s="17"/>
      <c r="L73" s="18"/>
      <c r="M73" s="127" t="s">
        <v>173</v>
      </c>
      <c r="N73" s="124">
        <v>0</v>
      </c>
      <c r="O73" s="150">
        <f t="shared" ref="O73:O79" si="12">30000*Q73*(1-L$7)*(1-N73)</f>
        <v>0</v>
      </c>
      <c r="P73" s="145">
        <f t="shared" si="7"/>
        <v>0</v>
      </c>
      <c r="Q73" s="146">
        <f t="shared" si="5"/>
        <v>0</v>
      </c>
    </row>
    <row r="74" spans="1:17" x14ac:dyDescent="0.25">
      <c r="A74" t="s">
        <v>52</v>
      </c>
      <c r="B74" s="116">
        <v>15</v>
      </c>
      <c r="C74" s="17"/>
      <c r="D74" s="17"/>
      <c r="E74" s="17"/>
      <c r="F74" s="17">
        <f>TRUNC(120*Q74*(1-L7)*(1-N74))</f>
        <v>0</v>
      </c>
      <c r="G74" s="17"/>
      <c r="H74" s="17"/>
      <c r="I74" s="17"/>
      <c r="J74" s="17">
        <f>TRUNC(50*Q74*(1-L7)*(1-N74))</f>
        <v>0</v>
      </c>
      <c r="K74" s="17"/>
      <c r="L74" s="18"/>
      <c r="M74" s="127" t="s">
        <v>173</v>
      </c>
      <c r="N74" s="124">
        <v>0</v>
      </c>
      <c r="O74" s="150">
        <f t="shared" si="12"/>
        <v>0</v>
      </c>
      <c r="P74" s="145">
        <f t="shared" si="7"/>
        <v>0</v>
      </c>
      <c r="Q74" s="146">
        <f t="shared" si="5"/>
        <v>0</v>
      </c>
    </row>
    <row r="75" spans="1:17" x14ac:dyDescent="0.25">
      <c r="A75" t="s">
        <v>53</v>
      </c>
      <c r="B75" s="116">
        <v>15</v>
      </c>
      <c r="C75" s="17"/>
      <c r="D75" s="17"/>
      <c r="E75" s="17"/>
      <c r="F75" s="17">
        <f>TRUNC(170*Q75*(1-L7)*(1-N75))</f>
        <v>0</v>
      </c>
      <c r="G75" s="17"/>
      <c r="H75" s="17"/>
      <c r="I75" s="17"/>
      <c r="J75" s="17"/>
      <c r="K75" s="17"/>
      <c r="L75" s="18"/>
      <c r="M75" s="127" t="s">
        <v>173</v>
      </c>
      <c r="N75" s="124">
        <v>0</v>
      </c>
      <c r="O75" s="150">
        <f t="shared" si="12"/>
        <v>0</v>
      </c>
      <c r="P75" s="145">
        <f t="shared" si="7"/>
        <v>0</v>
      </c>
      <c r="Q75" s="146">
        <f t="shared" si="5"/>
        <v>0</v>
      </c>
    </row>
    <row r="76" spans="1:17" x14ac:dyDescent="0.25">
      <c r="A76" t="s">
        <v>54</v>
      </c>
      <c r="B76" s="116">
        <v>15</v>
      </c>
      <c r="C76" s="17"/>
      <c r="D76" s="17"/>
      <c r="E76" s="17"/>
      <c r="F76" s="17"/>
      <c r="G76" s="17"/>
      <c r="H76" s="17"/>
      <c r="I76" s="17"/>
      <c r="J76" s="17">
        <f>TRUNC(170*Q76*(1-L7)*(1-N76))</f>
        <v>0</v>
      </c>
      <c r="K76" s="17"/>
      <c r="L76" s="18"/>
      <c r="M76" s="127" t="s">
        <v>173</v>
      </c>
      <c r="N76" s="124">
        <v>0</v>
      </c>
      <c r="O76" s="150">
        <f t="shared" si="12"/>
        <v>0</v>
      </c>
      <c r="P76" s="145">
        <f t="shared" si="7"/>
        <v>0</v>
      </c>
      <c r="Q76" s="146">
        <f t="shared" si="5"/>
        <v>0</v>
      </c>
    </row>
    <row r="77" spans="1:17" x14ac:dyDescent="0.25">
      <c r="A77" t="s">
        <v>55</v>
      </c>
      <c r="B77" s="116">
        <v>15</v>
      </c>
      <c r="C77" s="17"/>
      <c r="D77" s="17"/>
      <c r="E77" s="17">
        <f>TRUNC(120*Q77*(1-L7)*(1-N77))</f>
        <v>0</v>
      </c>
      <c r="F77" s="17"/>
      <c r="G77" s="17"/>
      <c r="H77" s="17"/>
      <c r="I77" s="17"/>
      <c r="J77" s="17"/>
      <c r="K77" s="17">
        <f>TRUNC(50*Q77*(1-L7)*(1-N77))</f>
        <v>0</v>
      </c>
      <c r="L77" s="18"/>
      <c r="M77" s="127" t="s">
        <v>173</v>
      </c>
      <c r="N77" s="124">
        <v>0</v>
      </c>
      <c r="O77" s="150">
        <f t="shared" si="12"/>
        <v>0</v>
      </c>
      <c r="P77" s="145">
        <f t="shared" si="7"/>
        <v>0</v>
      </c>
      <c r="Q77" s="146">
        <f t="shared" si="5"/>
        <v>0</v>
      </c>
    </row>
    <row r="78" spans="1:17" x14ac:dyDescent="0.25">
      <c r="A78" t="s">
        <v>56</v>
      </c>
      <c r="B78" s="116">
        <v>15</v>
      </c>
      <c r="C78" s="17"/>
      <c r="D78" s="17"/>
      <c r="E78" s="17">
        <f>TRUNC(120*Q78*(1-L7)*(1-N78))</f>
        <v>0</v>
      </c>
      <c r="F78" s="17"/>
      <c r="G78" s="17"/>
      <c r="H78" s="17"/>
      <c r="I78" s="17">
        <f>TRUNC(50*Q78*(1-L7)*(1-N78))</f>
        <v>0</v>
      </c>
      <c r="J78" s="17"/>
      <c r="K78" s="17"/>
      <c r="L78" s="18"/>
      <c r="M78" s="127" t="s">
        <v>173</v>
      </c>
      <c r="N78" s="124">
        <v>0</v>
      </c>
      <c r="O78" s="150">
        <f t="shared" si="12"/>
        <v>0</v>
      </c>
      <c r="P78" s="145">
        <f t="shared" si="7"/>
        <v>0</v>
      </c>
      <c r="Q78" s="146">
        <f t="shared" si="5"/>
        <v>0</v>
      </c>
    </row>
    <row r="79" spans="1:17" ht="15.75" thickBot="1" x14ac:dyDescent="0.3">
      <c r="A79" t="s">
        <v>57</v>
      </c>
      <c r="B79" s="116">
        <v>15</v>
      </c>
      <c r="C79" s="17"/>
      <c r="D79" s="17"/>
      <c r="E79" s="17"/>
      <c r="F79" s="17">
        <f>TRUNC(30*Q79*(1-L7)*(1-N79))</f>
        <v>0</v>
      </c>
      <c r="G79" s="17">
        <f>TRUNC(40*Q79*(1-L7)*(1-N79))</f>
        <v>0</v>
      </c>
      <c r="H79" s="17"/>
      <c r="I79" s="17"/>
      <c r="J79" s="17"/>
      <c r="K79" s="17">
        <f>TRUNC(100*Q79*(1-L7)*(1-N79))</f>
        <v>0</v>
      </c>
      <c r="L79" s="18"/>
      <c r="M79" s="127" t="s">
        <v>173</v>
      </c>
      <c r="N79" s="124">
        <v>0</v>
      </c>
      <c r="O79" s="150">
        <f t="shared" si="12"/>
        <v>0</v>
      </c>
      <c r="P79" s="145">
        <f t="shared" si="7"/>
        <v>0</v>
      </c>
      <c r="Q79" s="146">
        <f t="shared" si="5"/>
        <v>0</v>
      </c>
    </row>
    <row r="80" spans="1:17" ht="15.75" thickBot="1" x14ac:dyDescent="0.3">
      <c r="A80" s="3" t="s">
        <v>59</v>
      </c>
      <c r="B80" s="117" t="s">
        <v>166</v>
      </c>
      <c r="C80" s="91" t="s">
        <v>8</v>
      </c>
      <c r="D80" s="92" t="s">
        <v>9</v>
      </c>
      <c r="E80" s="92" t="s">
        <v>10</v>
      </c>
      <c r="F80" s="92" t="s">
        <v>137</v>
      </c>
      <c r="G80" s="92" t="s">
        <v>11</v>
      </c>
      <c r="H80" s="92" t="s">
        <v>138</v>
      </c>
      <c r="I80" s="92" t="s">
        <v>139</v>
      </c>
      <c r="J80" s="92" t="s">
        <v>12</v>
      </c>
      <c r="K80" s="92" t="s">
        <v>13</v>
      </c>
      <c r="L80" s="93" t="s">
        <v>105</v>
      </c>
      <c r="M80" s="93"/>
      <c r="N80" s="93"/>
      <c r="O80" s="151"/>
      <c r="P80" s="147"/>
      <c r="Q80" s="148"/>
    </row>
    <row r="81" spans="1:17" x14ac:dyDescent="0.25">
      <c r="A81" t="s">
        <v>60</v>
      </c>
      <c r="B81" s="115">
        <v>15</v>
      </c>
      <c r="C81" s="15"/>
      <c r="D81" s="15"/>
      <c r="E81" s="15"/>
      <c r="F81" s="15">
        <f>TRUNC(40*Q81*(1-L7)*(1-N81))</f>
        <v>0</v>
      </c>
      <c r="G81" s="15"/>
      <c r="H81" s="15">
        <f>TRUNC(120*Q81*(1-L7)*(1-N81))</f>
        <v>0</v>
      </c>
      <c r="I81" s="15">
        <f>TRUNC(TRUNC(20*Q81*(1-L7)*(1-N81)))</f>
        <v>0</v>
      </c>
      <c r="J81" s="15"/>
      <c r="K81" s="15"/>
      <c r="L81" s="16">
        <f>TRUNC(20*Q81*(1-L7)*(1-N81))</f>
        <v>0</v>
      </c>
      <c r="M81" s="127" t="s">
        <v>173</v>
      </c>
      <c r="N81" s="124">
        <v>0</v>
      </c>
      <c r="O81" s="149">
        <f>IF(E$6="Marais Noir",60000*Q81*(1-L$7)*(1-N81),30000*Q81*(1-L$7)*(1-N81))</f>
        <v>0</v>
      </c>
      <c r="P81" s="145">
        <f t="shared" si="7"/>
        <v>0</v>
      </c>
      <c r="Q81" s="146">
        <f t="shared" si="5"/>
        <v>0</v>
      </c>
    </row>
    <row r="82" spans="1:17" x14ac:dyDescent="0.25">
      <c r="A82" t="s">
        <v>61</v>
      </c>
      <c r="B82" s="116">
        <v>15</v>
      </c>
      <c r="C82" s="17">
        <f>TRUNC(30*Q82*(1-L7)*(1-N82))</f>
        <v>0</v>
      </c>
      <c r="D82" s="17"/>
      <c r="E82" s="17"/>
      <c r="F82" s="17"/>
      <c r="G82" s="17"/>
      <c r="H82" s="17"/>
      <c r="I82" s="17"/>
      <c r="J82" s="17">
        <f>TRUNC(140*Q82*(1-L7)*(1-N82))</f>
        <v>0</v>
      </c>
      <c r="K82" s="17"/>
      <c r="L82" s="18"/>
      <c r="M82" s="127" t="s">
        <v>173</v>
      </c>
      <c r="N82" s="124">
        <v>0</v>
      </c>
      <c r="O82" s="150">
        <f t="shared" ref="O82:O88" si="13">30000*Q82*(1-L$7)*(1-N82)</f>
        <v>0</v>
      </c>
      <c r="P82" s="145">
        <f t="shared" si="7"/>
        <v>0</v>
      </c>
      <c r="Q82" s="146">
        <f t="shared" si="5"/>
        <v>0</v>
      </c>
    </row>
    <row r="83" spans="1:17" x14ac:dyDescent="0.25">
      <c r="A83" t="s">
        <v>62</v>
      </c>
      <c r="B83" s="116">
        <v>15</v>
      </c>
      <c r="C83" s="17"/>
      <c r="D83" s="17"/>
      <c r="E83" s="17"/>
      <c r="F83" s="17">
        <f>TRUNC(170*Q83*(1-L7)*(1-N83))</f>
        <v>0</v>
      </c>
      <c r="G83" s="17"/>
      <c r="H83" s="17"/>
      <c r="I83" s="17"/>
      <c r="J83" s="17"/>
      <c r="K83" s="17"/>
      <c r="L83" s="18"/>
      <c r="M83" s="127" t="s">
        <v>173</v>
      </c>
      <c r="N83" s="124">
        <v>0</v>
      </c>
      <c r="O83" s="150">
        <f t="shared" si="13"/>
        <v>0</v>
      </c>
      <c r="P83" s="145">
        <f t="shared" si="7"/>
        <v>0</v>
      </c>
      <c r="Q83" s="146">
        <f t="shared" si="5"/>
        <v>0</v>
      </c>
    </row>
    <row r="84" spans="1:17" x14ac:dyDescent="0.25">
      <c r="A84" t="s">
        <v>63</v>
      </c>
      <c r="B84" s="116">
        <v>15</v>
      </c>
      <c r="C84" s="17"/>
      <c r="D84" s="17">
        <f>TRUNC(50*Q84*(1-L7)*(1-N84))</f>
        <v>0</v>
      </c>
      <c r="E84" s="17"/>
      <c r="F84" s="17">
        <f>TRUNC(100*Q84*(1-L7)*(1-N84))</f>
        <v>0</v>
      </c>
      <c r="G84" s="17"/>
      <c r="H84" s="17">
        <f>TRUNC(20*Q84*(1-L7)*(1-N84))</f>
        <v>0</v>
      </c>
      <c r="I84" s="17"/>
      <c r="J84" s="17"/>
      <c r="K84" s="17"/>
      <c r="L84" s="18"/>
      <c r="M84" s="127" t="s">
        <v>173</v>
      </c>
      <c r="N84" s="124">
        <v>0</v>
      </c>
      <c r="O84" s="150">
        <f t="shared" si="13"/>
        <v>0</v>
      </c>
      <c r="P84" s="145">
        <f t="shared" si="7"/>
        <v>0</v>
      </c>
      <c r="Q84" s="146">
        <f t="shared" si="5"/>
        <v>0</v>
      </c>
    </row>
    <row r="85" spans="1:17" x14ac:dyDescent="0.25">
      <c r="A85" t="s">
        <v>64</v>
      </c>
      <c r="B85" s="116">
        <v>15</v>
      </c>
      <c r="C85" s="17"/>
      <c r="D85" s="17"/>
      <c r="E85" s="17"/>
      <c r="F85" s="17">
        <f>TRUNC(40*Q85*(1-L7)*(1-N85))</f>
        <v>0</v>
      </c>
      <c r="G85" s="17"/>
      <c r="H85" s="17"/>
      <c r="I85" s="17"/>
      <c r="J85" s="17"/>
      <c r="K85" s="17"/>
      <c r="L85" s="18">
        <f>TRUNC(130*Q85*(1-L7)*(1-N85))</f>
        <v>0</v>
      </c>
      <c r="M85" s="127" t="s">
        <v>173</v>
      </c>
      <c r="N85" s="124">
        <v>0</v>
      </c>
      <c r="O85" s="150">
        <f t="shared" si="13"/>
        <v>0</v>
      </c>
      <c r="P85" s="145">
        <f t="shared" si="7"/>
        <v>0</v>
      </c>
      <c r="Q85" s="146">
        <f t="shared" si="5"/>
        <v>0</v>
      </c>
    </row>
    <row r="86" spans="1:17" x14ac:dyDescent="0.25">
      <c r="A86" t="s">
        <v>65</v>
      </c>
      <c r="B86" s="116">
        <v>15</v>
      </c>
      <c r="C86" s="17"/>
      <c r="D86" s="17"/>
      <c r="E86" s="17"/>
      <c r="F86" s="17"/>
      <c r="G86" s="17"/>
      <c r="H86" s="17">
        <f>TRUNC(170*Q86*(1-L7)*(1-N86))</f>
        <v>0</v>
      </c>
      <c r="I86" s="17"/>
      <c r="J86" s="17"/>
      <c r="K86" s="17"/>
      <c r="L86" s="18"/>
      <c r="M86" s="127" t="s">
        <v>173</v>
      </c>
      <c r="N86" s="124">
        <v>0</v>
      </c>
      <c r="O86" s="150">
        <f t="shared" si="13"/>
        <v>0</v>
      </c>
      <c r="P86" s="145">
        <f t="shared" si="7"/>
        <v>0</v>
      </c>
      <c r="Q86" s="146">
        <f t="shared" si="5"/>
        <v>0</v>
      </c>
    </row>
    <row r="87" spans="1:17" x14ac:dyDescent="0.25">
      <c r="A87" t="s">
        <v>66</v>
      </c>
      <c r="B87" s="116">
        <v>15</v>
      </c>
      <c r="C87" s="17"/>
      <c r="D87" s="17"/>
      <c r="E87" s="17"/>
      <c r="F87" s="17"/>
      <c r="G87" s="17"/>
      <c r="H87" s="17">
        <f>TRUNC(40*Q87*(1-L7)*(1-N87))</f>
        <v>0</v>
      </c>
      <c r="I87" s="17">
        <f>TRUNC(130*Q87*(1-L7)*(1-N87))</f>
        <v>0</v>
      </c>
      <c r="J87" s="17"/>
      <c r="K87" s="17"/>
      <c r="L87" s="18"/>
      <c r="M87" s="127" t="s">
        <v>173</v>
      </c>
      <c r="N87" s="124">
        <v>0</v>
      </c>
      <c r="O87" s="150">
        <f t="shared" si="13"/>
        <v>0</v>
      </c>
      <c r="P87" s="145">
        <f t="shared" si="7"/>
        <v>0</v>
      </c>
      <c r="Q87" s="146">
        <f t="shared" si="5"/>
        <v>0</v>
      </c>
    </row>
    <row r="88" spans="1:17" ht="15.75" thickBot="1" x14ac:dyDescent="0.3">
      <c r="A88" t="s">
        <v>67</v>
      </c>
      <c r="B88" s="116">
        <v>15</v>
      </c>
      <c r="C88" s="17"/>
      <c r="D88" s="17"/>
      <c r="E88" s="17"/>
      <c r="F88" s="17"/>
      <c r="G88" s="17"/>
      <c r="H88" s="17">
        <f>TRUNC(100*Q88*(1-L7)*(1-N88))</f>
        <v>0</v>
      </c>
      <c r="I88" s="17">
        <f>TRUNC(70*Q88*(1-L7)*(1-N88))</f>
        <v>0</v>
      </c>
      <c r="J88" s="17"/>
      <c r="K88" s="17"/>
      <c r="L88" s="18"/>
      <c r="M88" s="127" t="s">
        <v>173</v>
      </c>
      <c r="N88" s="124">
        <v>0</v>
      </c>
      <c r="O88" s="150">
        <f t="shared" si="13"/>
        <v>0</v>
      </c>
      <c r="P88" s="145">
        <f t="shared" si="7"/>
        <v>0</v>
      </c>
      <c r="Q88" s="146">
        <f t="shared" si="5"/>
        <v>0</v>
      </c>
    </row>
    <row r="89" spans="1:17" ht="15.75" thickBot="1" x14ac:dyDescent="0.3">
      <c r="A89" s="3" t="s">
        <v>68</v>
      </c>
      <c r="B89" s="117" t="s">
        <v>166</v>
      </c>
      <c r="C89" s="91" t="s">
        <v>8</v>
      </c>
      <c r="D89" s="92" t="s">
        <v>9</v>
      </c>
      <c r="E89" s="92" t="s">
        <v>10</v>
      </c>
      <c r="F89" s="92" t="s">
        <v>137</v>
      </c>
      <c r="G89" s="92" t="s">
        <v>11</v>
      </c>
      <c r="H89" s="92" t="s">
        <v>138</v>
      </c>
      <c r="I89" s="92" t="s">
        <v>139</v>
      </c>
      <c r="J89" s="92" t="s">
        <v>12</v>
      </c>
      <c r="K89" s="92" t="s">
        <v>13</v>
      </c>
      <c r="L89" s="93" t="s">
        <v>105</v>
      </c>
      <c r="M89" s="93"/>
      <c r="N89" s="93"/>
      <c r="O89" s="151"/>
      <c r="P89" s="147"/>
      <c r="Q89" s="148"/>
    </row>
    <row r="90" spans="1:17" x14ac:dyDescent="0.25">
      <c r="A90" t="s">
        <v>69</v>
      </c>
      <c r="B90" s="115">
        <v>15</v>
      </c>
      <c r="C90" s="15"/>
      <c r="D90" s="15"/>
      <c r="E90" s="15">
        <f>TRUNC(20*Q90*(1-L7)*(1-N90))</f>
        <v>0</v>
      </c>
      <c r="F90" s="15"/>
      <c r="G90" s="15">
        <f>TRUNC(20*Q90*(1-L7)*(1-N90))</f>
        <v>0</v>
      </c>
      <c r="H90" s="15">
        <f>TRUNC(90*Q90*(1-L7)*(1-N90))</f>
        <v>0</v>
      </c>
      <c r="I90" s="15"/>
      <c r="J90" s="15">
        <f>TRUNC(20*Q90*(1-L7)*(1-N90))</f>
        <v>0</v>
      </c>
      <c r="K90" s="15"/>
      <c r="L90" s="16">
        <f>TRUNC(60*Q90*(1-L7)*(1-N90))</f>
        <v>0</v>
      </c>
      <c r="M90" s="127" t="s">
        <v>173</v>
      </c>
      <c r="N90" s="124">
        <v>0</v>
      </c>
      <c r="O90" s="149">
        <f>IF(E$6="Morrowind",60000*Q90*(1-L$7)*(1-N90),30000*Q90*(1-L$7)*(1-N90))</f>
        <v>0</v>
      </c>
      <c r="P90" s="145">
        <f t="shared" si="7"/>
        <v>0</v>
      </c>
      <c r="Q90" s="146">
        <f t="shared" si="5"/>
        <v>0</v>
      </c>
    </row>
    <row r="91" spans="1:17" x14ac:dyDescent="0.25">
      <c r="A91" t="s">
        <v>70</v>
      </c>
      <c r="B91" s="116">
        <v>15</v>
      </c>
      <c r="C91" s="17"/>
      <c r="D91" s="17"/>
      <c r="E91" s="17"/>
      <c r="F91" s="17"/>
      <c r="G91" s="17">
        <f>TRUNC(170*Q91*(1-L7)*(1-N91))</f>
        <v>0</v>
      </c>
      <c r="H91" s="17"/>
      <c r="I91" s="17"/>
      <c r="J91" s="17"/>
      <c r="K91" s="17"/>
      <c r="L91" s="18"/>
      <c r="M91" s="127" t="s">
        <v>173</v>
      </c>
      <c r="N91" s="124">
        <v>0</v>
      </c>
      <c r="O91" s="150">
        <f t="shared" ref="O91:O97" si="14">30000*Q91*(1-L$7)*(1-N91)</f>
        <v>0</v>
      </c>
      <c r="P91" s="145">
        <f t="shared" si="7"/>
        <v>0</v>
      </c>
      <c r="Q91" s="146">
        <f t="shared" si="5"/>
        <v>0</v>
      </c>
    </row>
    <row r="92" spans="1:17" x14ac:dyDescent="0.25">
      <c r="A92" t="s">
        <v>71</v>
      </c>
      <c r="B92" s="116">
        <v>15</v>
      </c>
      <c r="C92" s="17">
        <f>TRUNC(70*Q92*(1-L7)*(1-N92))</f>
        <v>0</v>
      </c>
      <c r="D92" s="17"/>
      <c r="E92" s="17"/>
      <c r="F92" s="17"/>
      <c r="G92" s="17"/>
      <c r="H92" s="17"/>
      <c r="I92" s="17"/>
      <c r="J92" s="17"/>
      <c r="K92" s="17"/>
      <c r="L92" s="18">
        <f>TRUNC(100*Q92*(1-L7)*(1-N92))</f>
        <v>0</v>
      </c>
      <c r="M92" s="127" t="s">
        <v>173</v>
      </c>
      <c r="N92" s="124">
        <v>0</v>
      </c>
      <c r="O92" s="150">
        <f t="shared" si="14"/>
        <v>0</v>
      </c>
      <c r="P92" s="145">
        <f t="shared" si="7"/>
        <v>0</v>
      </c>
      <c r="Q92" s="146">
        <f t="shared" ref="Q92:Q111" si="15">IF(M92="Possédée",1,IF(M92="Assiégée",0.5,0))</f>
        <v>0</v>
      </c>
    </row>
    <row r="93" spans="1:17" x14ac:dyDescent="0.25">
      <c r="A93" t="s">
        <v>72</v>
      </c>
      <c r="B93" s="116">
        <v>15</v>
      </c>
      <c r="C93" s="17"/>
      <c r="D93" s="17"/>
      <c r="E93" s="17">
        <f>TRUNC(60*Q93*(1-L7)*(1-N93))</f>
        <v>0</v>
      </c>
      <c r="F93" s="17"/>
      <c r="G93" s="17"/>
      <c r="H93" s="17"/>
      <c r="I93" s="17"/>
      <c r="J93" s="17"/>
      <c r="K93" s="17">
        <f>TRUNC(110*Q93*(1-L7)*(1-N93))</f>
        <v>0</v>
      </c>
      <c r="L93" s="18"/>
      <c r="M93" s="127" t="s">
        <v>173</v>
      </c>
      <c r="N93" s="124">
        <v>0</v>
      </c>
      <c r="O93" s="150">
        <f t="shared" si="14"/>
        <v>0</v>
      </c>
      <c r="P93" s="145">
        <f t="shared" ref="P93:P118" si="16">IF(OR(M93="Possédée",M93="Assiégée"),B93,0)</f>
        <v>0</v>
      </c>
      <c r="Q93" s="146">
        <f t="shared" si="15"/>
        <v>0</v>
      </c>
    </row>
    <row r="94" spans="1:17" x14ac:dyDescent="0.25">
      <c r="A94" t="s">
        <v>73</v>
      </c>
      <c r="B94" s="116">
        <v>15</v>
      </c>
      <c r="C94" s="17"/>
      <c r="D94" s="17"/>
      <c r="E94" s="17"/>
      <c r="F94" s="17"/>
      <c r="G94" s="17">
        <f>TRUNC(100*Q94*(1-L7)*(1-N94))</f>
        <v>0</v>
      </c>
      <c r="H94" s="17">
        <f>TRUNC(50*Q94*(1-L7)*(1-N94))</f>
        <v>0</v>
      </c>
      <c r="I94" s="17"/>
      <c r="J94" s="17"/>
      <c r="K94" s="17"/>
      <c r="L94" s="18">
        <f>TRUNC(20*Q94*(1-L7)*(1-N94))</f>
        <v>0</v>
      </c>
      <c r="M94" s="127" t="s">
        <v>173</v>
      </c>
      <c r="N94" s="124">
        <v>0</v>
      </c>
      <c r="O94" s="150">
        <f t="shared" si="14"/>
        <v>0</v>
      </c>
      <c r="P94" s="145">
        <f t="shared" si="16"/>
        <v>0</v>
      </c>
      <c r="Q94" s="146">
        <f t="shared" si="15"/>
        <v>0</v>
      </c>
    </row>
    <row r="95" spans="1:17" x14ac:dyDescent="0.25">
      <c r="A95" t="s">
        <v>74</v>
      </c>
      <c r="B95" s="116">
        <v>15</v>
      </c>
      <c r="C95" s="17"/>
      <c r="D95" s="17"/>
      <c r="E95" s="17">
        <f>TRUNC(100*Q95*(1-L7)*(1-N95))</f>
        <v>0</v>
      </c>
      <c r="F95" s="17"/>
      <c r="G95" s="17">
        <f>TRUNC(70*Q95*(1-L7)*(1-N95))</f>
        <v>0</v>
      </c>
      <c r="H95" s="17"/>
      <c r="I95" s="17"/>
      <c r="J95" s="17"/>
      <c r="K95" s="17"/>
      <c r="L95" s="18"/>
      <c r="M95" s="127" t="s">
        <v>173</v>
      </c>
      <c r="N95" s="124">
        <v>0</v>
      </c>
      <c r="O95" s="150">
        <f t="shared" si="14"/>
        <v>0</v>
      </c>
      <c r="P95" s="145">
        <f t="shared" si="16"/>
        <v>0</v>
      </c>
      <c r="Q95" s="146">
        <f t="shared" si="15"/>
        <v>0</v>
      </c>
    </row>
    <row r="96" spans="1:17" x14ac:dyDescent="0.25">
      <c r="A96" t="s">
        <v>75</v>
      </c>
      <c r="B96" s="116">
        <v>15</v>
      </c>
      <c r="C96" s="17"/>
      <c r="D96" s="17"/>
      <c r="E96" s="17">
        <f>TRUNC(120*Q96*(1-L7)*(1-N96))</f>
        <v>0</v>
      </c>
      <c r="F96" s="17"/>
      <c r="G96" s="17"/>
      <c r="H96" s="17"/>
      <c r="I96" s="17"/>
      <c r="J96" s="17"/>
      <c r="K96" s="17">
        <f>TRUNC(50*Q96*(1-L7)*(1-N96))</f>
        <v>0</v>
      </c>
      <c r="L96" s="18"/>
      <c r="M96" s="127" t="s">
        <v>173</v>
      </c>
      <c r="N96" s="124">
        <v>0</v>
      </c>
      <c r="O96" s="150">
        <f t="shared" si="14"/>
        <v>0</v>
      </c>
      <c r="P96" s="145">
        <f t="shared" si="16"/>
        <v>0</v>
      </c>
      <c r="Q96" s="146">
        <f t="shared" si="15"/>
        <v>0</v>
      </c>
    </row>
    <row r="97" spans="1:17" ht="15.75" thickBot="1" x14ac:dyDescent="0.3">
      <c r="A97" t="s">
        <v>76</v>
      </c>
      <c r="B97" s="116">
        <v>15</v>
      </c>
      <c r="C97" s="17"/>
      <c r="D97" s="17"/>
      <c r="E97" s="17">
        <f>TRUNC(170*Q97*(1-L7)*(1-N97))</f>
        <v>0</v>
      </c>
      <c r="F97" s="17"/>
      <c r="G97" s="17"/>
      <c r="H97" s="17"/>
      <c r="I97" s="17"/>
      <c r="J97" s="17"/>
      <c r="K97" s="17"/>
      <c r="L97" s="18"/>
      <c r="M97" s="127" t="s">
        <v>173</v>
      </c>
      <c r="N97" s="124">
        <v>0</v>
      </c>
      <c r="O97" s="150">
        <f t="shared" si="14"/>
        <v>0</v>
      </c>
      <c r="P97" s="145">
        <f t="shared" si="16"/>
        <v>0</v>
      </c>
      <c r="Q97" s="146">
        <f t="shared" si="15"/>
        <v>0</v>
      </c>
    </row>
    <row r="98" spans="1:17" ht="15.75" thickBot="1" x14ac:dyDescent="0.3">
      <c r="A98" s="3" t="s">
        <v>77</v>
      </c>
      <c r="B98" s="117" t="s">
        <v>166</v>
      </c>
      <c r="C98" s="91" t="s">
        <v>8</v>
      </c>
      <c r="D98" s="92" t="s">
        <v>9</v>
      </c>
      <c r="E98" s="92" t="s">
        <v>10</v>
      </c>
      <c r="F98" s="92" t="s">
        <v>137</v>
      </c>
      <c r="G98" s="92" t="s">
        <v>11</v>
      </c>
      <c r="H98" s="92" t="s">
        <v>138</v>
      </c>
      <c r="I98" s="92" t="s">
        <v>139</v>
      </c>
      <c r="J98" s="92" t="s">
        <v>12</v>
      </c>
      <c r="K98" s="92" t="s">
        <v>13</v>
      </c>
      <c r="L98" s="93" t="s">
        <v>105</v>
      </c>
      <c r="M98" s="93"/>
      <c r="N98" s="93"/>
      <c r="O98" s="151"/>
      <c r="P98" s="147"/>
      <c r="Q98" s="148"/>
    </row>
    <row r="99" spans="1:17" x14ac:dyDescent="0.25">
      <c r="A99" t="s">
        <v>78</v>
      </c>
      <c r="B99" s="115">
        <v>15</v>
      </c>
      <c r="C99" s="15"/>
      <c r="D99" s="15"/>
      <c r="E99" s="15"/>
      <c r="F99" s="15"/>
      <c r="G99" s="15">
        <f>TRUNC(30*Q99*(1-L7)*(1-N99))</f>
        <v>0</v>
      </c>
      <c r="H99" s="15">
        <f>TRUNC(40*Q99*(1-L7)*(1-N99))</f>
        <v>0</v>
      </c>
      <c r="I99" s="15">
        <f>TRUNC(140*Q99*(1-L7)*(1-N99))</f>
        <v>0</v>
      </c>
      <c r="J99" s="15"/>
      <c r="K99" s="15"/>
      <c r="L99" s="16"/>
      <c r="M99" s="127" t="s">
        <v>173</v>
      </c>
      <c r="N99" s="124">
        <v>0</v>
      </c>
      <c r="O99" s="149">
        <f>IF(E$6="Val-Boisé",60000*Q99*(1-L$7)*(1-N99),30000*Q99*(1-L$7)*(1-N99))</f>
        <v>0</v>
      </c>
      <c r="P99" s="145">
        <f t="shared" si="16"/>
        <v>0</v>
      </c>
      <c r="Q99" s="146">
        <f t="shared" si="15"/>
        <v>0</v>
      </c>
    </row>
    <row r="100" spans="1:17" x14ac:dyDescent="0.25">
      <c r="A100" t="s">
        <v>79</v>
      </c>
      <c r="B100" s="116">
        <v>15</v>
      </c>
      <c r="C100" s="17"/>
      <c r="D100" s="17"/>
      <c r="E100" s="17"/>
      <c r="F100" s="17"/>
      <c r="G100" s="17"/>
      <c r="H100" s="17"/>
      <c r="I100" s="17">
        <f>TRUNC(50*Q100*(1-L7)*(1-N100))</f>
        <v>0</v>
      </c>
      <c r="J100" s="17">
        <f>TRUNC(120*Q100*(1-L7)*(1-N100))</f>
        <v>0</v>
      </c>
      <c r="K100" s="17"/>
      <c r="L100" s="18"/>
      <c r="M100" s="127" t="s">
        <v>173</v>
      </c>
      <c r="N100" s="124">
        <v>0</v>
      </c>
      <c r="O100" s="150">
        <f t="shared" ref="O100:O106" si="17">30000*Q100*(1-L$7)*(1-N100)</f>
        <v>0</v>
      </c>
      <c r="P100" s="145">
        <f t="shared" si="16"/>
        <v>0</v>
      </c>
      <c r="Q100" s="146">
        <f t="shared" si="15"/>
        <v>0</v>
      </c>
    </row>
    <row r="101" spans="1:17" x14ac:dyDescent="0.25">
      <c r="A101" t="s">
        <v>80</v>
      </c>
      <c r="B101" s="116">
        <v>15</v>
      </c>
      <c r="C101" s="17"/>
      <c r="D101" s="17"/>
      <c r="E101" s="17"/>
      <c r="F101" s="17">
        <f>TRUNC(70*Q101*(1-L7)*(1-N101))</f>
        <v>0</v>
      </c>
      <c r="G101" s="17">
        <f>TRUNC(40*Q101*(1-L7)*(1-N101))</f>
        <v>0</v>
      </c>
      <c r="H101" s="17"/>
      <c r="I101" s="17"/>
      <c r="J101" s="17"/>
      <c r="K101" s="17">
        <f>TRUNC(20*Q101*(1-L7)*(1-N101))</f>
        <v>0</v>
      </c>
      <c r="L101" s="18">
        <f>TRUNC(40*Q101*(1-L7)*(1-N101))</f>
        <v>0</v>
      </c>
      <c r="M101" s="127" t="s">
        <v>173</v>
      </c>
      <c r="N101" s="124">
        <v>0</v>
      </c>
      <c r="O101" s="150">
        <f t="shared" si="17"/>
        <v>0</v>
      </c>
      <c r="P101" s="145">
        <f t="shared" si="16"/>
        <v>0</v>
      </c>
      <c r="Q101" s="146">
        <f t="shared" si="15"/>
        <v>0</v>
      </c>
    </row>
    <row r="102" spans="1:17" x14ac:dyDescent="0.25">
      <c r="A102" t="s">
        <v>81</v>
      </c>
      <c r="B102" s="116">
        <v>15</v>
      </c>
      <c r="C102" s="17"/>
      <c r="D102" s="17"/>
      <c r="E102" s="17"/>
      <c r="F102" s="17"/>
      <c r="G102" s="17"/>
      <c r="H102" s="17"/>
      <c r="I102" s="17">
        <f>TRUNC(170*Q102*(1-L7)*(1-N102))</f>
        <v>0</v>
      </c>
      <c r="J102" s="17"/>
      <c r="K102" s="17"/>
      <c r="L102" s="18"/>
      <c r="M102" s="127" t="s">
        <v>173</v>
      </c>
      <c r="N102" s="124">
        <v>0</v>
      </c>
      <c r="O102" s="150">
        <f t="shared" si="17"/>
        <v>0</v>
      </c>
      <c r="P102" s="145">
        <f t="shared" si="16"/>
        <v>0</v>
      </c>
      <c r="Q102" s="146">
        <f t="shared" si="15"/>
        <v>0</v>
      </c>
    </row>
    <row r="103" spans="1:17" x14ac:dyDescent="0.25">
      <c r="A103" t="s">
        <v>82</v>
      </c>
      <c r="B103" s="116">
        <v>15</v>
      </c>
      <c r="C103" s="17">
        <f>TRUNC(100*Q103*(1-L7)*(1-N103))</f>
        <v>0</v>
      </c>
      <c r="D103" s="17"/>
      <c r="E103" s="17"/>
      <c r="F103" s="17"/>
      <c r="G103" s="17"/>
      <c r="H103" s="17"/>
      <c r="I103" s="17"/>
      <c r="J103" s="17">
        <f>TRUNC(70*Q103*(1-L7)*(1-N103))</f>
        <v>0</v>
      </c>
      <c r="K103" s="17"/>
      <c r="L103" s="18"/>
      <c r="M103" s="127" t="s">
        <v>173</v>
      </c>
      <c r="N103" s="124">
        <v>0</v>
      </c>
      <c r="O103" s="150">
        <f t="shared" si="17"/>
        <v>0</v>
      </c>
      <c r="P103" s="145">
        <f t="shared" si="16"/>
        <v>0</v>
      </c>
      <c r="Q103" s="146">
        <f t="shared" si="15"/>
        <v>0</v>
      </c>
    </row>
    <row r="104" spans="1:17" x14ac:dyDescent="0.25">
      <c r="A104" t="s">
        <v>83</v>
      </c>
      <c r="B104" s="116">
        <v>15</v>
      </c>
      <c r="C104" s="17">
        <f>TRUNC(170*Q104*(1-L7)*(1-N104))</f>
        <v>0</v>
      </c>
      <c r="D104" s="17"/>
      <c r="E104" s="17"/>
      <c r="F104" s="17"/>
      <c r="G104" s="17"/>
      <c r="H104" s="17"/>
      <c r="I104" s="17"/>
      <c r="J104" s="17"/>
      <c r="K104" s="17"/>
      <c r="L104" s="18"/>
      <c r="M104" s="127" t="s">
        <v>173</v>
      </c>
      <c r="N104" s="124">
        <v>0</v>
      </c>
      <c r="O104" s="150">
        <f t="shared" si="17"/>
        <v>0</v>
      </c>
      <c r="P104" s="145">
        <f t="shared" si="16"/>
        <v>0</v>
      </c>
      <c r="Q104" s="146">
        <f t="shared" si="15"/>
        <v>0</v>
      </c>
    </row>
    <row r="105" spans="1:17" x14ac:dyDescent="0.25">
      <c r="A105" t="s">
        <v>84</v>
      </c>
      <c r="B105" s="116">
        <v>15</v>
      </c>
      <c r="C105" s="17"/>
      <c r="D105" s="17"/>
      <c r="E105" s="17"/>
      <c r="F105" s="17"/>
      <c r="G105" s="17"/>
      <c r="H105" s="17">
        <f>TRUNC(170*Q105*(1-L7)*(1-N105))</f>
        <v>0</v>
      </c>
      <c r="I105" s="17"/>
      <c r="J105" s="17"/>
      <c r="K105" s="17"/>
      <c r="L105" s="18"/>
      <c r="M105" s="127" t="s">
        <v>173</v>
      </c>
      <c r="N105" s="124">
        <v>0</v>
      </c>
      <c r="O105" s="150">
        <f t="shared" si="17"/>
        <v>0</v>
      </c>
      <c r="P105" s="145">
        <f t="shared" si="16"/>
        <v>0</v>
      </c>
      <c r="Q105" s="146">
        <f t="shared" si="15"/>
        <v>0</v>
      </c>
    </row>
    <row r="106" spans="1:17" ht="15.75" thickBot="1" x14ac:dyDescent="0.3">
      <c r="A106" t="s">
        <v>85</v>
      </c>
      <c r="B106" s="116">
        <v>15</v>
      </c>
      <c r="C106" s="17">
        <f>TRUNC(60*Q106*(1-L7)*(1-N106))</f>
        <v>0</v>
      </c>
      <c r="D106" s="17"/>
      <c r="E106" s="17"/>
      <c r="F106" s="17"/>
      <c r="G106" s="17"/>
      <c r="H106" s="17"/>
      <c r="I106" s="17">
        <f>TRUNC(110*Q106*(1-L7)*(1-N106))</f>
        <v>0</v>
      </c>
      <c r="J106" s="17"/>
      <c r="K106" s="17"/>
      <c r="L106" s="18"/>
      <c r="M106" s="127" t="s">
        <v>173</v>
      </c>
      <c r="N106" s="124">
        <v>0</v>
      </c>
      <c r="O106" s="150">
        <f t="shared" si="17"/>
        <v>0</v>
      </c>
      <c r="P106" s="145">
        <f t="shared" si="16"/>
        <v>0</v>
      </c>
      <c r="Q106" s="146">
        <f t="shared" si="15"/>
        <v>0</v>
      </c>
    </row>
    <row r="107" spans="1:17" ht="15.75" thickBot="1" x14ac:dyDescent="0.3">
      <c r="A107" s="3" t="s">
        <v>86</v>
      </c>
      <c r="B107" s="117" t="s">
        <v>166</v>
      </c>
      <c r="C107" s="91" t="s">
        <v>8</v>
      </c>
      <c r="D107" s="92" t="s">
        <v>9</v>
      </c>
      <c r="E107" s="92" t="s">
        <v>10</v>
      </c>
      <c r="F107" s="92" t="s">
        <v>137</v>
      </c>
      <c r="G107" s="92" t="s">
        <v>11</v>
      </c>
      <c r="H107" s="92" t="s">
        <v>138</v>
      </c>
      <c r="I107" s="92" t="s">
        <v>139</v>
      </c>
      <c r="J107" s="92" t="s">
        <v>12</v>
      </c>
      <c r="K107" s="92" t="s">
        <v>13</v>
      </c>
      <c r="L107" s="93" t="s">
        <v>105</v>
      </c>
      <c r="M107" s="93"/>
      <c r="N107" s="93"/>
      <c r="O107" s="151"/>
      <c r="P107" s="147"/>
      <c r="Q107" s="148"/>
    </row>
    <row r="108" spans="1:17" x14ac:dyDescent="0.25">
      <c r="A108" t="s">
        <v>89</v>
      </c>
      <c r="B108" s="115">
        <v>15</v>
      </c>
      <c r="C108" s="15"/>
      <c r="D108" s="15"/>
      <c r="E108" s="15">
        <f>TRUNC(90*Q108*(1-L7)*(1-N108))</f>
        <v>0</v>
      </c>
      <c r="F108" s="15"/>
      <c r="G108" s="15"/>
      <c r="H108" s="15"/>
      <c r="I108" s="15"/>
      <c r="J108" s="15"/>
      <c r="K108" s="15">
        <f>TRUNC(120*Q108*(1-L7)*(1-N108))</f>
        <v>0</v>
      </c>
      <c r="L108" s="16"/>
      <c r="M108" s="127" t="s">
        <v>173</v>
      </c>
      <c r="N108" s="124">
        <v>0</v>
      </c>
      <c r="O108" s="149">
        <f>IF(E$6="Solstheim",60000*Q108*(1-L$7)*(1-N108),30000*Q108*(1-L$7)*(1-N108))</f>
        <v>0</v>
      </c>
      <c r="P108" s="145">
        <f t="shared" si="16"/>
        <v>0</v>
      </c>
      <c r="Q108" s="146">
        <f t="shared" si="15"/>
        <v>0</v>
      </c>
    </row>
    <row r="109" spans="1:17" x14ac:dyDescent="0.25">
      <c r="A109" t="s">
        <v>88</v>
      </c>
      <c r="B109" s="116">
        <v>15</v>
      </c>
      <c r="C109" s="17"/>
      <c r="D109" s="17"/>
      <c r="E109" s="17">
        <f>TRUNC(80*Q109*(1-L7)*(1-N109))</f>
        <v>0</v>
      </c>
      <c r="F109" s="17"/>
      <c r="G109" s="17">
        <f>TRUNC(20*Q109*(1-L7)*(1-N109))</f>
        <v>0</v>
      </c>
      <c r="H109" s="17"/>
      <c r="I109" s="17"/>
      <c r="J109" s="17"/>
      <c r="K109" s="17">
        <f>TRUNC(70*Q109*(1-L7)*(1-N109))</f>
        <v>0</v>
      </c>
      <c r="L109" s="18"/>
      <c r="M109" s="127" t="s">
        <v>173</v>
      </c>
      <c r="N109" s="124">
        <v>0</v>
      </c>
      <c r="O109" s="150">
        <f t="shared" ref="O109:O110" si="18">30000*Q109*(1-L$7)*(1-N109)</f>
        <v>0</v>
      </c>
      <c r="P109" s="145">
        <f t="shared" si="16"/>
        <v>0</v>
      </c>
      <c r="Q109" s="146">
        <f t="shared" si="15"/>
        <v>0</v>
      </c>
    </row>
    <row r="110" spans="1:17" ht="15.75" thickBot="1" x14ac:dyDescent="0.3">
      <c r="A110" s="39" t="s">
        <v>87</v>
      </c>
      <c r="B110" s="116">
        <v>15</v>
      </c>
      <c r="C110" s="19"/>
      <c r="D110" s="17">
        <f>TRUNC(90*Q110*(1-L7)*(1-N110))</f>
        <v>0</v>
      </c>
      <c r="E110" s="17"/>
      <c r="F110" s="17"/>
      <c r="G110" s="17">
        <f>TRUNC(30*Q110*(1-L7)*(1-N110))</f>
        <v>0</v>
      </c>
      <c r="H110" s="17"/>
      <c r="I110" s="17"/>
      <c r="J110" s="17"/>
      <c r="K110" s="17">
        <f>TRUNC(50*Q110*(1-L7)*(1-N110))</f>
        <v>0</v>
      </c>
      <c r="L110" s="18"/>
      <c r="M110" s="127" t="s">
        <v>173</v>
      </c>
      <c r="N110" s="124">
        <v>0</v>
      </c>
      <c r="O110" s="150">
        <f t="shared" si="18"/>
        <v>0</v>
      </c>
      <c r="P110" s="145">
        <f t="shared" si="16"/>
        <v>0</v>
      </c>
      <c r="Q110" s="146">
        <f t="shared" si="15"/>
        <v>0</v>
      </c>
    </row>
    <row r="111" spans="1:17" ht="15.75" thickBot="1" x14ac:dyDescent="0.3">
      <c r="A111" s="3" t="s">
        <v>140</v>
      </c>
      <c r="B111" s="119">
        <v>15</v>
      </c>
      <c r="C111" s="113"/>
      <c r="D111" s="89"/>
      <c r="E111" s="89">
        <f>TRUNC(70*Q111*(1-L7)*(1-N111))</f>
        <v>0</v>
      </c>
      <c r="F111" s="89"/>
      <c r="G111" s="89">
        <f>TRUNC(40*Q111*(1-L7)*(1-N111))</f>
        <v>0</v>
      </c>
      <c r="H111" s="89"/>
      <c r="I111" s="89"/>
      <c r="J111" s="89"/>
      <c r="K111" s="89">
        <f>TRUNC(100*Q111*(1-L7)*(1-N111))</f>
        <v>0</v>
      </c>
      <c r="L111" s="90"/>
      <c r="M111" s="127" t="s">
        <v>173</v>
      </c>
      <c r="N111" s="124">
        <v>0</v>
      </c>
      <c r="O111" s="150">
        <f>IF(E$6="Orsinium",60000*Q111*(1-L$7)*(1-N111),30000*Q111*(1-L$7)*(1-N111))</f>
        <v>0</v>
      </c>
      <c r="P111" s="145">
        <f t="shared" si="16"/>
        <v>0</v>
      </c>
      <c r="Q111" s="146">
        <f t="shared" si="15"/>
        <v>0</v>
      </c>
    </row>
    <row r="112" spans="1:17" ht="15.75" thickBot="1" x14ac:dyDescent="0.3">
      <c r="A112" s="3" t="s">
        <v>215</v>
      </c>
      <c r="B112" s="117" t="s">
        <v>166</v>
      </c>
      <c r="C112" s="91" t="s">
        <v>8</v>
      </c>
      <c r="D112" s="92" t="s">
        <v>9</v>
      </c>
      <c r="E112" s="92" t="s">
        <v>10</v>
      </c>
      <c r="F112" s="92" t="s">
        <v>137</v>
      </c>
      <c r="G112" s="92" t="s">
        <v>11</v>
      </c>
      <c r="H112" s="92" t="s">
        <v>138</v>
      </c>
      <c r="I112" s="92" t="s">
        <v>139</v>
      </c>
      <c r="J112" s="92" t="s">
        <v>12</v>
      </c>
      <c r="K112" s="92" t="s">
        <v>13</v>
      </c>
      <c r="L112" s="93" t="s">
        <v>105</v>
      </c>
      <c r="M112" s="93"/>
      <c r="N112" s="93"/>
      <c r="O112" s="151"/>
      <c r="P112" s="147"/>
      <c r="Q112" s="148"/>
    </row>
    <row r="113" spans="1:17" x14ac:dyDescent="0.25">
      <c r="A113" t="s">
        <v>142</v>
      </c>
      <c r="B113" s="115">
        <v>0</v>
      </c>
      <c r="C113" s="15"/>
      <c r="D113" s="15"/>
      <c r="E113" s="15">
        <f>TRUNC(10*Q113*(1-N113))</f>
        <v>0</v>
      </c>
      <c r="F113" s="15"/>
      <c r="G113" s="15"/>
      <c r="H113" s="15">
        <f>TRUNC(10*Q113*(1-N113))</f>
        <v>0</v>
      </c>
      <c r="I113" s="15"/>
      <c r="J113" s="15">
        <f>TRUNC(10*Q113*(1-N113))</f>
        <v>0</v>
      </c>
      <c r="K113" s="15"/>
      <c r="L113" s="16"/>
      <c r="M113" s="127" t="s">
        <v>173</v>
      </c>
      <c r="N113" s="124">
        <v>0</v>
      </c>
      <c r="O113" s="149">
        <f>IF(E$6="Strik",40000*Q113*(1-L$7)*(1-N113),0)</f>
        <v>0</v>
      </c>
      <c r="P113" s="145">
        <f t="shared" si="16"/>
        <v>0</v>
      </c>
      <c r="Q113" s="146">
        <f>IF(E$6=A113,IF(M113="Possédée",1,IF(M113="Assiégée",0.5,0)),0)</f>
        <v>0</v>
      </c>
    </row>
    <row r="114" spans="1:17" x14ac:dyDescent="0.25">
      <c r="A114" t="s">
        <v>143</v>
      </c>
      <c r="B114" s="116">
        <v>0</v>
      </c>
      <c r="C114" s="17"/>
      <c r="D114" s="17"/>
      <c r="E114" s="17">
        <f>TRUNC(10*Q114*(1-N114))</f>
        <v>0</v>
      </c>
      <c r="F114" s="17"/>
      <c r="G114" s="17"/>
      <c r="H114" s="17">
        <f>TRUNC(10*Q114*(1-N114))</f>
        <v>0</v>
      </c>
      <c r="I114" s="17"/>
      <c r="J114" s="17">
        <f>TRUNC(10*Q114*(1-N114))</f>
        <v>0</v>
      </c>
      <c r="K114" s="17"/>
      <c r="L114" s="18"/>
      <c r="M114" s="127" t="s">
        <v>173</v>
      </c>
      <c r="N114" s="124">
        <v>0</v>
      </c>
      <c r="O114" s="150">
        <f>IF(E$6="Stros M'Kai",40000*Q114*(1-L$7)*(1-N114),0)</f>
        <v>0</v>
      </c>
      <c r="P114" s="145">
        <f t="shared" si="16"/>
        <v>0</v>
      </c>
      <c r="Q114" s="146">
        <f t="shared" ref="Q114:Q118" si="19">IF(E$6=A114,IF(M114="Possédée",1,IF(M114="Assiégée",0.5,0)),0)</f>
        <v>0</v>
      </c>
    </row>
    <row r="115" spans="1:17" x14ac:dyDescent="0.25">
      <c r="A115" t="s">
        <v>144</v>
      </c>
      <c r="B115" s="116">
        <v>0</v>
      </c>
      <c r="C115" s="17"/>
      <c r="D115" s="17"/>
      <c r="E115" s="17">
        <f t="shared" ref="E115:E118" si="20">TRUNC(10*Q115*(1-N115))</f>
        <v>0</v>
      </c>
      <c r="F115" s="17"/>
      <c r="G115" s="17"/>
      <c r="H115" s="17">
        <f t="shared" ref="H115:H118" si="21">TRUNC(10*Q115*(1-N115))</f>
        <v>0</v>
      </c>
      <c r="I115" s="17"/>
      <c r="J115" s="17">
        <f t="shared" ref="J115:J118" si="22">TRUNC(10*Q115*(1-N115))</f>
        <v>0</v>
      </c>
      <c r="K115" s="17"/>
      <c r="L115" s="18"/>
      <c r="M115" s="127" t="s">
        <v>173</v>
      </c>
      <c r="N115" s="124">
        <v>0</v>
      </c>
      <c r="O115" s="150">
        <f>IF(E$6="Vivec",40000*Q115*(1-L$7)*(1-N115),0)</f>
        <v>0</v>
      </c>
      <c r="P115" s="145">
        <f t="shared" si="16"/>
        <v>0</v>
      </c>
      <c r="Q115" s="146">
        <f t="shared" si="19"/>
        <v>0</v>
      </c>
    </row>
    <row r="116" spans="1:17" x14ac:dyDescent="0.25">
      <c r="A116" t="s">
        <v>145</v>
      </c>
      <c r="B116" s="116">
        <v>0</v>
      </c>
      <c r="C116" s="17"/>
      <c r="D116" s="17"/>
      <c r="E116" s="17">
        <f t="shared" si="20"/>
        <v>0</v>
      </c>
      <c r="F116" s="17"/>
      <c r="G116" s="17"/>
      <c r="H116" s="17">
        <f t="shared" si="21"/>
        <v>0</v>
      </c>
      <c r="I116" s="17"/>
      <c r="J116" s="17">
        <f t="shared" si="22"/>
        <v>0</v>
      </c>
      <c r="K116" s="17"/>
      <c r="L116" s="18"/>
      <c r="M116" s="127" t="s">
        <v>173</v>
      </c>
      <c r="N116" s="124">
        <v>0</v>
      </c>
      <c r="O116" s="150">
        <f>IF(E$6="Sadrith Mora",40000*Q116*(1-L$7)*(1-N116),0)</f>
        <v>0</v>
      </c>
      <c r="P116" s="145">
        <f t="shared" si="16"/>
        <v>0</v>
      </c>
      <c r="Q116" s="146">
        <f t="shared" si="19"/>
        <v>0</v>
      </c>
    </row>
    <row r="117" spans="1:17" x14ac:dyDescent="0.25">
      <c r="A117" t="s">
        <v>146</v>
      </c>
      <c r="B117" s="116">
        <v>0</v>
      </c>
      <c r="C117" s="17"/>
      <c r="D117" s="17"/>
      <c r="E117" s="17">
        <f t="shared" si="20"/>
        <v>0</v>
      </c>
      <c r="F117" s="17"/>
      <c r="G117" s="17"/>
      <c r="H117" s="17">
        <f t="shared" si="21"/>
        <v>0</v>
      </c>
      <c r="I117" s="17"/>
      <c r="J117" s="17">
        <f t="shared" si="22"/>
        <v>0</v>
      </c>
      <c r="K117" s="17"/>
      <c r="L117" s="18"/>
      <c r="M117" s="127" t="s">
        <v>173</v>
      </c>
      <c r="N117" s="124">
        <v>0</v>
      </c>
      <c r="O117" s="150">
        <f>IF(E$6="Dagon Fel",40000*Q117*(1-L$7)*(1-N117),0)</f>
        <v>0</v>
      </c>
      <c r="P117" s="145">
        <f t="shared" si="16"/>
        <v>0</v>
      </c>
      <c r="Q117" s="146">
        <f t="shared" si="19"/>
        <v>0</v>
      </c>
    </row>
    <row r="118" spans="1:17" ht="15.75" thickBot="1" x14ac:dyDescent="0.3">
      <c r="A118" s="40" t="s">
        <v>147</v>
      </c>
      <c r="B118" s="118">
        <v>0</v>
      </c>
      <c r="C118" s="21"/>
      <c r="D118" s="21"/>
      <c r="E118" s="17">
        <f t="shared" si="20"/>
        <v>0</v>
      </c>
      <c r="F118" s="21"/>
      <c r="G118" s="21"/>
      <c r="H118" s="17">
        <f t="shared" si="21"/>
        <v>0</v>
      </c>
      <c r="I118" s="21"/>
      <c r="J118" s="17">
        <f t="shared" si="22"/>
        <v>0</v>
      </c>
      <c r="K118" s="21"/>
      <c r="L118" s="22"/>
      <c r="M118" s="128" t="s">
        <v>173</v>
      </c>
      <c r="N118" s="125">
        <v>0</v>
      </c>
      <c r="O118" s="150">
        <f>IF(E$6="Port Telvannis",40000*Q118*(1-L$7)*(1-N118),0)</f>
        <v>0</v>
      </c>
      <c r="P118" s="145">
        <f t="shared" si="16"/>
        <v>0</v>
      </c>
      <c r="Q118" s="146">
        <f t="shared" si="19"/>
        <v>0</v>
      </c>
    </row>
    <row r="119" spans="1:17" ht="15.75" thickBot="1" x14ac:dyDescent="0.3">
      <c r="A119" s="132" t="s">
        <v>202</v>
      </c>
      <c r="B119" s="119">
        <f>SUM(P27:P118)</f>
        <v>120</v>
      </c>
      <c r="C119" s="89">
        <f>SUM(C27:C118)</f>
        <v>140</v>
      </c>
      <c r="D119" s="89">
        <f>SUM(D27:D118)</f>
        <v>70</v>
      </c>
      <c r="E119" s="89">
        <f>SUM(E27:E118)</f>
        <v>0</v>
      </c>
      <c r="F119" s="89">
        <f t="shared" ref="F119:L119" si="23">SUM(F27:F118)</f>
        <v>130</v>
      </c>
      <c r="G119" s="89">
        <f t="shared" si="23"/>
        <v>30</v>
      </c>
      <c r="H119" s="89">
        <f t="shared" si="23"/>
        <v>0</v>
      </c>
      <c r="I119" s="89">
        <f t="shared" si="23"/>
        <v>340</v>
      </c>
      <c r="J119" s="89">
        <f t="shared" si="23"/>
        <v>0</v>
      </c>
      <c r="K119" s="89">
        <f t="shared" si="23"/>
        <v>240</v>
      </c>
      <c r="L119" s="89">
        <f t="shared" si="23"/>
        <v>450</v>
      </c>
      <c r="M119" s="133"/>
      <c r="N119" s="134"/>
      <c r="O119" s="151">
        <f>SUM(O27:O118)</f>
        <v>270000</v>
      </c>
      <c r="P119" s="147"/>
      <c r="Q119" s="148"/>
    </row>
    <row r="120" spans="1:17" x14ac:dyDescent="0.25">
      <c r="A120" s="131" t="s">
        <v>216</v>
      </c>
    </row>
    <row r="122" spans="1:17" x14ac:dyDescent="0.25">
      <c r="A122" t="s">
        <v>160</v>
      </c>
    </row>
    <row r="123" spans="1:17" x14ac:dyDescent="0.25">
      <c r="A123" t="s">
        <v>22</v>
      </c>
      <c r="D123" t="s">
        <v>199</v>
      </c>
    </row>
    <row r="124" spans="1:17" x14ac:dyDescent="0.25">
      <c r="A124" t="s">
        <v>23</v>
      </c>
      <c r="B124" s="122">
        <v>0</v>
      </c>
      <c r="C124" t="s">
        <v>178</v>
      </c>
      <c r="D124" t="s">
        <v>200</v>
      </c>
      <c r="E124">
        <f>COUNTIF(M27:M111,"Possédée")+COUNTIF(M27:M111,"Assiégée")</f>
        <v>8</v>
      </c>
    </row>
    <row r="125" spans="1:17" x14ac:dyDescent="0.25">
      <c r="A125" t="s">
        <v>24</v>
      </c>
      <c r="B125" s="122">
        <v>0.05</v>
      </c>
      <c r="C125" t="s">
        <v>179</v>
      </c>
      <c r="D125" t="s">
        <v>217</v>
      </c>
      <c r="E125">
        <f>COUNTIF(M113:M118,"Possédée")+COUNTIF(M113:M118,"Assiégée")</f>
        <v>0</v>
      </c>
    </row>
    <row r="126" spans="1:17" x14ac:dyDescent="0.25">
      <c r="A126" t="s">
        <v>33</v>
      </c>
      <c r="B126" s="122">
        <v>0.1</v>
      </c>
      <c r="C126" t="s">
        <v>180</v>
      </c>
      <c r="D126" s="97" t="s">
        <v>218</v>
      </c>
      <c r="E126">
        <f>COUNTIF(M27:M118,"Possédée")+COUNTIF(M27:M118,"Assiégée")</f>
        <v>8</v>
      </c>
    </row>
    <row r="127" spans="1:17" x14ac:dyDescent="0.25">
      <c r="A127" t="s">
        <v>41</v>
      </c>
      <c r="B127" s="122">
        <v>0.15</v>
      </c>
      <c r="C127" t="s">
        <v>181</v>
      </c>
      <c r="D127" t="s">
        <v>201</v>
      </c>
      <c r="E127">
        <f>COUNTIF(M27:M118,"Assiégée")</f>
        <v>0</v>
      </c>
    </row>
    <row r="128" spans="1:17" x14ac:dyDescent="0.25">
      <c r="A128" t="s">
        <v>49</v>
      </c>
      <c r="B128" s="122">
        <v>0.2</v>
      </c>
      <c r="C128" t="s">
        <v>182</v>
      </c>
    </row>
    <row r="129" spans="1:3" x14ac:dyDescent="0.25">
      <c r="A129" t="s">
        <v>59</v>
      </c>
      <c r="B129" s="122">
        <v>0.25</v>
      </c>
      <c r="C129" t="s">
        <v>183</v>
      </c>
    </row>
    <row r="130" spans="1:3" x14ac:dyDescent="0.25">
      <c r="A130" t="s">
        <v>68</v>
      </c>
      <c r="B130" s="122">
        <v>0.3</v>
      </c>
      <c r="C130" t="s">
        <v>184</v>
      </c>
    </row>
    <row r="131" spans="1:3" x14ac:dyDescent="0.25">
      <c r="A131" t="s">
        <v>77</v>
      </c>
      <c r="B131" s="122">
        <v>0.35</v>
      </c>
      <c r="C131" t="s">
        <v>185</v>
      </c>
    </row>
    <row r="132" spans="1:3" x14ac:dyDescent="0.25">
      <c r="A132" t="s">
        <v>86</v>
      </c>
      <c r="B132" s="122">
        <v>0.4</v>
      </c>
      <c r="C132" t="s">
        <v>186</v>
      </c>
    </row>
    <row r="133" spans="1:3" x14ac:dyDescent="0.25">
      <c r="A133" t="s">
        <v>140</v>
      </c>
      <c r="B133" s="122">
        <v>0.45</v>
      </c>
      <c r="C133" t="s">
        <v>187</v>
      </c>
    </row>
    <row r="134" spans="1:3" x14ac:dyDescent="0.25">
      <c r="A134" t="s">
        <v>142</v>
      </c>
      <c r="B134" s="122">
        <v>0.5</v>
      </c>
      <c r="C134" t="s">
        <v>188</v>
      </c>
    </row>
    <row r="135" spans="1:3" x14ac:dyDescent="0.25">
      <c r="A135" t="s">
        <v>143</v>
      </c>
      <c r="B135" s="122">
        <v>0.55000000000000004</v>
      </c>
      <c r="C135" t="s">
        <v>189</v>
      </c>
    </row>
    <row r="136" spans="1:3" x14ac:dyDescent="0.25">
      <c r="A136" t="s">
        <v>144</v>
      </c>
      <c r="B136" s="122">
        <v>0.6</v>
      </c>
      <c r="C136" t="s">
        <v>190</v>
      </c>
    </row>
    <row r="137" spans="1:3" x14ac:dyDescent="0.25">
      <c r="A137" t="s">
        <v>145</v>
      </c>
      <c r="B137" s="122">
        <v>0.65</v>
      </c>
      <c r="C137" t="s">
        <v>191</v>
      </c>
    </row>
    <row r="138" spans="1:3" x14ac:dyDescent="0.25">
      <c r="A138" t="s">
        <v>146</v>
      </c>
      <c r="B138" s="122">
        <v>0.7</v>
      </c>
      <c r="C138" t="s">
        <v>192</v>
      </c>
    </row>
    <row r="139" spans="1:3" x14ac:dyDescent="0.25">
      <c r="A139" t="s">
        <v>147</v>
      </c>
      <c r="B139" s="122">
        <v>0.75</v>
      </c>
      <c r="C139" t="s">
        <v>193</v>
      </c>
    </row>
    <row r="140" spans="1:3" x14ac:dyDescent="0.25">
      <c r="A140" t="s">
        <v>219</v>
      </c>
      <c r="B140" s="122">
        <v>0.8</v>
      </c>
      <c r="C140" t="s">
        <v>194</v>
      </c>
    </row>
    <row r="141" spans="1:3" x14ac:dyDescent="0.25">
      <c r="B141" s="122">
        <v>0.85</v>
      </c>
      <c r="C141" t="s">
        <v>195</v>
      </c>
    </row>
    <row r="142" spans="1:3" x14ac:dyDescent="0.25">
      <c r="B142" s="122">
        <v>0.9</v>
      </c>
      <c r="C142" t="s">
        <v>196</v>
      </c>
    </row>
    <row r="143" spans="1:3" x14ac:dyDescent="0.25">
      <c r="B143" s="122">
        <v>0.95</v>
      </c>
      <c r="C143" t="s">
        <v>197</v>
      </c>
    </row>
    <row r="144" spans="1:3" x14ac:dyDescent="0.25">
      <c r="B144" s="122">
        <v>1</v>
      </c>
      <c r="C144" t="s">
        <v>198</v>
      </c>
    </row>
    <row r="145" spans="3:3" x14ac:dyDescent="0.25">
      <c r="C145" t="s">
        <v>209</v>
      </c>
    </row>
    <row r="146" spans="3:3" x14ac:dyDescent="0.25">
      <c r="C146" t="s">
        <v>210</v>
      </c>
    </row>
    <row r="147" spans="3:3" x14ac:dyDescent="0.25">
      <c r="C147" t="s">
        <v>211</v>
      </c>
    </row>
    <row r="148" spans="3:3" x14ac:dyDescent="0.25">
      <c r="C148" t="s">
        <v>212</v>
      </c>
    </row>
  </sheetData>
  <mergeCells count="6">
    <mergeCell ref="P25:Q25"/>
    <mergeCell ref="E6:G6"/>
    <mergeCell ref="C25:L25"/>
    <mergeCell ref="H7:K7"/>
    <mergeCell ref="H6:K6"/>
    <mergeCell ref="C7:D7"/>
  </mergeCells>
  <conditionalFormatting sqref="C21:L21">
    <cfRule type="cellIs" dxfId="95" priority="5" operator="greaterThanOrEqual">
      <formula>0</formula>
    </cfRule>
    <cfRule type="cellIs" dxfId="94" priority="6" operator="lessThan">
      <formula>0</formula>
    </cfRule>
  </conditionalFormatting>
  <conditionalFormatting sqref="C13:L13">
    <cfRule type="containsText" dxfId="93" priority="7" operator="containsText" text="Oui">
      <formula>NOT(ISERROR(SEARCH("Oui",C13)))</formula>
    </cfRule>
    <cfRule type="containsText" dxfId="92" priority="8" operator="containsText" text="Non">
      <formula>NOT(ISERROR(SEARCH("Non",C13)))</formula>
    </cfRule>
  </conditionalFormatting>
  <conditionalFormatting sqref="M27:M34 M36:M43 M45:M53 M55:M61 M63:M70 M72:M79 M81:M88 M90:M97 M99:M106 M108:M111 M113:M119">
    <cfRule type="containsText" dxfId="91" priority="2" operator="containsText" text="Non Possédée">
      <formula>NOT(ISERROR(SEARCH("Non Possédée",M27)))</formula>
    </cfRule>
    <cfRule type="containsText" dxfId="90" priority="3" operator="containsText" text="Assiégée">
      <formula>NOT(ISERROR(SEARCH("Assiégée",M27)))</formula>
    </cfRule>
    <cfRule type="containsText" dxfId="89" priority="4" operator="containsText" text="Possédée">
      <formula>NOT(ISERROR(SEARCH("Possédée",M27)))</formula>
    </cfRule>
  </conditionalFormatting>
  <conditionalFormatting sqref="N27:N34 N36:N43 N45:N53 N63:N70 N72:N79 N81:N88 N90:N97 N99:N106 N108:N111 N113:N119 N55:N61">
    <cfRule type="cellIs" dxfId="88" priority="1" operator="greaterThan">
      <formula>0</formula>
    </cfRule>
  </conditionalFormatting>
  <dataValidations count="4">
    <dataValidation type="list" allowBlank="1" showInputMessage="1" showErrorMessage="1" sqref="E6">
      <formula1>Provinces</formula1>
    </dataValidation>
    <dataValidation type="list" allowBlank="1" showInputMessage="1" showErrorMessage="1" sqref="M99:M106 M27:M34 M36:M43 M45:M53 M55:M61 M63:M70 M72:M79 M81:M88 M90:M97 M108:M111 M113:M119">
      <formula1>"Possédée,Assiégée,Non Possédée"</formula1>
    </dataValidation>
    <dataValidation type="list" allowBlank="1" showInputMessage="1" showErrorMessage="1" sqref="N108:N111 N27:N34 N36:N43 N113:N119 N45:N53 N63:N70 N72:N79 N81:N88 N90:N97 N99:N106 N55:N61">
      <formula1>Malus</formula1>
    </dataValidation>
    <dataValidation type="list" errorStyle="information" allowBlank="1" showInputMessage="1" showErrorMessage="1" sqref="D8 E7">
      <formula1>Année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8"/>
  <sheetViews>
    <sheetView workbookViewId="0">
      <selection activeCell="O1" sqref="O1"/>
    </sheetView>
  </sheetViews>
  <sheetFormatPr baseColWidth="10" defaultRowHeight="15" x14ac:dyDescent="0.25"/>
  <cols>
    <col min="1" max="1" width="21" customWidth="1"/>
    <col min="2" max="2" width="6.28515625" customWidth="1"/>
    <col min="13" max="13" width="13.85546875" customWidth="1"/>
    <col min="14" max="14" width="9.85546875" customWidth="1"/>
    <col min="15" max="15" width="10.140625" customWidth="1"/>
    <col min="16" max="16" width="12" customWidth="1"/>
    <col min="17" max="17" width="17.28515625" customWidth="1"/>
  </cols>
  <sheetData>
    <row r="1" spans="1:17" ht="21" x14ac:dyDescent="0.35">
      <c r="A1" s="2" t="s">
        <v>170</v>
      </c>
      <c r="B1" s="1"/>
    </row>
    <row r="3" spans="1:17" x14ac:dyDescent="0.25">
      <c r="A3" t="s">
        <v>141</v>
      </c>
    </row>
    <row r="4" spans="1:17" x14ac:dyDescent="0.25">
      <c r="A4" t="s">
        <v>220</v>
      </c>
    </row>
    <row r="6" spans="1:17" x14ac:dyDescent="0.25">
      <c r="A6" s="94" t="s">
        <v>148</v>
      </c>
      <c r="B6" s="95"/>
      <c r="C6" s="59" t="s">
        <v>149</v>
      </c>
      <c r="E6" s="156" t="s">
        <v>23</v>
      </c>
      <c r="F6" s="157"/>
      <c r="G6" s="158"/>
      <c r="H6" s="164" t="s">
        <v>207</v>
      </c>
      <c r="I6" s="165"/>
      <c r="J6" s="165"/>
      <c r="K6" s="163"/>
      <c r="L6" s="139">
        <v>8</v>
      </c>
      <c r="O6" s="137" t="s">
        <v>206</v>
      </c>
      <c r="Q6" s="97"/>
    </row>
    <row r="7" spans="1:17" x14ac:dyDescent="0.25">
      <c r="A7" s="98" t="s">
        <v>150</v>
      </c>
      <c r="B7" s="96"/>
      <c r="C7" s="166" t="s">
        <v>151</v>
      </c>
      <c r="D7" s="167"/>
      <c r="E7" s="138" t="s">
        <v>178</v>
      </c>
      <c r="F7" s="97"/>
      <c r="H7" s="162" t="s">
        <v>152</v>
      </c>
      <c r="I7" s="162"/>
      <c r="J7" s="162"/>
      <c r="K7" s="163"/>
      <c r="L7" s="140">
        <f>1-(COUNTIF(C13:L13,"Oui" )/10)</f>
        <v>0</v>
      </c>
      <c r="O7" s="153" t="s">
        <v>221</v>
      </c>
      <c r="P7" s="97"/>
      <c r="Q7" s="97"/>
    </row>
    <row r="8" spans="1:17" ht="15.75" thickBot="1" x14ac:dyDescent="0.3">
      <c r="A8" s="98"/>
      <c r="B8" s="96"/>
      <c r="H8" t="s">
        <v>208</v>
      </c>
      <c r="L8" s="152">
        <f>O119</f>
        <v>300000</v>
      </c>
      <c r="P8" s="97"/>
      <c r="Q8" s="97"/>
    </row>
    <row r="9" spans="1:17" ht="15.75" thickBot="1" x14ac:dyDescent="0.3">
      <c r="A9" s="97"/>
      <c r="B9" s="97"/>
      <c r="C9" s="100" t="s">
        <v>8</v>
      </c>
      <c r="D9" s="101" t="s">
        <v>9</v>
      </c>
      <c r="E9" s="101" t="s">
        <v>10</v>
      </c>
      <c r="F9" s="101" t="s">
        <v>137</v>
      </c>
      <c r="G9" s="101" t="s">
        <v>11</v>
      </c>
      <c r="H9" s="101" t="s">
        <v>138</v>
      </c>
      <c r="I9" s="101" t="s">
        <v>139</v>
      </c>
      <c r="J9" s="101" t="s">
        <v>12</v>
      </c>
      <c r="K9" s="101" t="s">
        <v>13</v>
      </c>
      <c r="L9" s="102" t="s">
        <v>105</v>
      </c>
    </row>
    <row r="10" spans="1:17" x14ac:dyDescent="0.25">
      <c r="A10" s="103" t="s">
        <v>153</v>
      </c>
      <c r="B10" s="97"/>
      <c r="C10" s="136">
        <v>120</v>
      </c>
      <c r="D10" s="104">
        <v>120</v>
      </c>
      <c r="E10" s="104">
        <v>120</v>
      </c>
      <c r="F10" s="104">
        <v>120</v>
      </c>
      <c r="G10" s="104">
        <v>120</v>
      </c>
      <c r="H10" s="104">
        <v>120</v>
      </c>
      <c r="I10" s="104">
        <v>120</v>
      </c>
      <c r="J10" s="104">
        <v>120</v>
      </c>
      <c r="K10" s="104">
        <v>120</v>
      </c>
      <c r="L10" s="135">
        <v>120</v>
      </c>
    </row>
    <row r="11" spans="1:17" x14ac:dyDescent="0.25">
      <c r="A11" s="103" t="s">
        <v>154</v>
      </c>
      <c r="B11" s="97"/>
      <c r="C11" s="105">
        <f>15*L6</f>
        <v>120</v>
      </c>
      <c r="D11" s="105">
        <f>15*L6</f>
        <v>120</v>
      </c>
      <c r="E11" s="105">
        <f>15*L6</f>
        <v>120</v>
      </c>
      <c r="F11" s="105">
        <f>15*L6</f>
        <v>120</v>
      </c>
      <c r="G11" s="105">
        <f>15*L6</f>
        <v>120</v>
      </c>
      <c r="H11" s="105">
        <f>15*L6</f>
        <v>120</v>
      </c>
      <c r="I11" s="105">
        <f>15*L6</f>
        <v>120</v>
      </c>
      <c r="J11" s="105">
        <f>15*L6</f>
        <v>120</v>
      </c>
      <c r="K11" s="105">
        <f>15*L6</f>
        <v>120</v>
      </c>
      <c r="L11" s="105">
        <f>15*L6</f>
        <v>120</v>
      </c>
    </row>
    <row r="12" spans="1:17" x14ac:dyDescent="0.25">
      <c r="A12" s="103" t="s">
        <v>155</v>
      </c>
      <c r="B12" s="97"/>
      <c r="C12" s="106">
        <f>C119</f>
        <v>70</v>
      </c>
      <c r="D12" s="106">
        <f>D119</f>
        <v>380</v>
      </c>
      <c r="E12" s="106">
        <f t="shared" ref="E12:L12" si="0">E119</f>
        <v>190</v>
      </c>
      <c r="F12" s="106">
        <f t="shared" si="0"/>
        <v>140</v>
      </c>
      <c r="G12" s="106">
        <f t="shared" si="0"/>
        <v>480</v>
      </c>
      <c r="H12" s="106">
        <f t="shared" si="0"/>
        <v>0</v>
      </c>
      <c r="I12" s="106">
        <f t="shared" si="0"/>
        <v>0</v>
      </c>
      <c r="J12" s="106">
        <f t="shared" si="0"/>
        <v>0</v>
      </c>
      <c r="K12" s="106">
        <f t="shared" si="0"/>
        <v>310</v>
      </c>
      <c r="L12" s="106">
        <f t="shared" si="0"/>
        <v>0</v>
      </c>
    </row>
    <row r="13" spans="1:17" x14ac:dyDescent="0.25">
      <c r="A13" s="88" t="s">
        <v>156</v>
      </c>
      <c r="B13" s="97"/>
      <c r="C13" s="107" t="str">
        <f>IF((C10-C11) &gt;= 0,"Oui","Non")</f>
        <v>Oui</v>
      </c>
      <c r="D13" s="107" t="str">
        <f t="shared" ref="D13:L13" si="1">IF((D10-D11) &gt;= 0,"Oui","Non")</f>
        <v>Oui</v>
      </c>
      <c r="E13" s="107" t="str">
        <f t="shared" si="1"/>
        <v>Oui</v>
      </c>
      <c r="F13" s="107" t="str">
        <f t="shared" si="1"/>
        <v>Oui</v>
      </c>
      <c r="G13" s="107" t="str">
        <f t="shared" si="1"/>
        <v>Oui</v>
      </c>
      <c r="H13" s="107" t="str">
        <f t="shared" si="1"/>
        <v>Oui</v>
      </c>
      <c r="I13" s="107" t="str">
        <f t="shared" si="1"/>
        <v>Oui</v>
      </c>
      <c r="J13" s="107" t="str">
        <f t="shared" si="1"/>
        <v>Oui</v>
      </c>
      <c r="K13" s="107" t="str">
        <f t="shared" si="1"/>
        <v>Oui</v>
      </c>
      <c r="L13" s="107" t="str">
        <f t="shared" si="1"/>
        <v>Oui</v>
      </c>
    </row>
    <row r="14" spans="1:17" x14ac:dyDescent="0.25">
      <c r="A14" s="103" t="s">
        <v>157</v>
      </c>
      <c r="B14" s="97"/>
      <c r="C14" s="108">
        <f>IF(C13="OUI",C10-C11+C12,C10+C12)</f>
        <v>70</v>
      </c>
      <c r="D14" s="108">
        <f>IF(D13="OUI",D10-D11+D12,D10+D12)</f>
        <v>380</v>
      </c>
      <c r="E14" s="108">
        <f t="shared" ref="E14:L14" si="2">IF(E13="OUI",E10-E11+E12,E10+E12)</f>
        <v>190</v>
      </c>
      <c r="F14" s="108">
        <f t="shared" si="2"/>
        <v>140</v>
      </c>
      <c r="G14" s="108">
        <f t="shared" si="2"/>
        <v>480</v>
      </c>
      <c r="H14" s="108">
        <f t="shared" si="2"/>
        <v>0</v>
      </c>
      <c r="I14" s="108">
        <f t="shared" si="2"/>
        <v>0</v>
      </c>
      <c r="J14" s="108">
        <f t="shared" si="2"/>
        <v>0</v>
      </c>
      <c r="K14" s="108">
        <f t="shared" si="2"/>
        <v>310</v>
      </c>
      <c r="L14" s="108">
        <f t="shared" si="2"/>
        <v>0</v>
      </c>
    </row>
    <row r="15" spans="1:17" x14ac:dyDescent="0.25">
      <c r="A15" s="103" t="s">
        <v>162</v>
      </c>
      <c r="B15" s="97"/>
      <c r="C15" s="142"/>
      <c r="D15" s="142"/>
      <c r="E15" s="142"/>
      <c r="F15" s="142"/>
      <c r="G15" s="142"/>
      <c r="H15" s="142"/>
      <c r="I15" s="142"/>
      <c r="J15" s="142"/>
      <c r="K15" s="142"/>
      <c r="L15" s="142"/>
    </row>
    <row r="16" spans="1:17" x14ac:dyDescent="0.25">
      <c r="A16" s="103" t="s">
        <v>165</v>
      </c>
      <c r="B16" s="97"/>
      <c r="C16" s="142"/>
      <c r="D16" s="142"/>
      <c r="E16" s="142"/>
      <c r="F16" s="142"/>
      <c r="G16" s="142"/>
      <c r="H16" s="142"/>
      <c r="I16" s="142"/>
      <c r="J16" s="142"/>
      <c r="K16" s="142"/>
      <c r="L16" s="142"/>
    </row>
    <row r="17" spans="1:17" x14ac:dyDescent="0.25">
      <c r="A17" s="103" t="s">
        <v>163</v>
      </c>
      <c r="B17" s="97"/>
      <c r="C17" s="141"/>
      <c r="D17" s="141"/>
      <c r="E17" s="141"/>
      <c r="F17" s="141"/>
      <c r="G17" s="141"/>
      <c r="H17" s="141"/>
      <c r="I17" s="141"/>
      <c r="J17" s="141"/>
      <c r="K17" s="141"/>
      <c r="L17" s="141"/>
    </row>
    <row r="18" spans="1:17" x14ac:dyDescent="0.25">
      <c r="A18" s="103" t="s">
        <v>164</v>
      </c>
      <c r="B18" s="97"/>
      <c r="C18" s="141"/>
      <c r="D18" s="141"/>
      <c r="E18" s="141"/>
      <c r="F18" s="141"/>
      <c r="G18" s="141"/>
      <c r="H18" s="141"/>
      <c r="I18" s="141"/>
      <c r="J18" s="141"/>
      <c r="K18" s="141"/>
      <c r="L18" s="141"/>
    </row>
    <row r="19" spans="1:17" x14ac:dyDescent="0.25">
      <c r="A19" s="109" t="s">
        <v>158</v>
      </c>
      <c r="B19" s="97"/>
      <c r="C19" s="110">
        <f>C14+C15+C16-C17-C18</f>
        <v>70</v>
      </c>
      <c r="D19" s="110">
        <f>D14+D15+D16-D17-D18</f>
        <v>380</v>
      </c>
      <c r="E19" s="110">
        <f t="shared" ref="E19:K19" si="3">E14+E15+E16-E17-E18</f>
        <v>190</v>
      </c>
      <c r="F19" s="110">
        <f>F14+F15+F16-F17-F18</f>
        <v>140</v>
      </c>
      <c r="G19" s="110">
        <f t="shared" si="3"/>
        <v>480</v>
      </c>
      <c r="H19" s="110">
        <f t="shared" si="3"/>
        <v>0</v>
      </c>
      <c r="I19" s="110">
        <f t="shared" si="3"/>
        <v>0</v>
      </c>
      <c r="J19" s="110">
        <f t="shared" si="3"/>
        <v>0</v>
      </c>
      <c r="K19" s="110">
        <f t="shared" si="3"/>
        <v>310</v>
      </c>
      <c r="L19" s="110">
        <f>L14+L15+L16-L17-L18</f>
        <v>0</v>
      </c>
    </row>
    <row r="20" spans="1:17" x14ac:dyDescent="0.25">
      <c r="A20" s="103" t="s">
        <v>161</v>
      </c>
      <c r="B20" s="97"/>
      <c r="C20" s="111">
        <f>(COUNTIF(M27:M111,"Possédée")+COUNTIF(M27:M111,"Assiégée"))*15</f>
        <v>135</v>
      </c>
      <c r="D20" s="111">
        <f>(COUNTIF(M27:M111,"Possédée")+COUNTIF(M27:M111,"Assiégée"))*15</f>
        <v>135</v>
      </c>
      <c r="E20" s="111">
        <f>(COUNTIF(M27:M111,"Possédée")+COUNTIF(M27:M111,"Assiégée"))*15</f>
        <v>135</v>
      </c>
      <c r="F20" s="111">
        <f>(COUNTIF(M27:M111,"Possédée")+COUNTIF(M27:M111,"Assiégée"))*15</f>
        <v>135</v>
      </c>
      <c r="G20" s="111">
        <f>(COUNTIF(M27:M111,"Possédée")+COUNTIF(M27:M111,"Assiégée"))*15</f>
        <v>135</v>
      </c>
      <c r="H20" s="111">
        <f>(COUNTIF(M27:M111,"Possédée")+COUNTIF(M27:M111,"Assiégée"))*15</f>
        <v>135</v>
      </c>
      <c r="I20" s="111">
        <f>(COUNTIF(M27:M111,"Possédée")+COUNTIF(M27:M111,"Assiégée"))*15</f>
        <v>135</v>
      </c>
      <c r="J20" s="111">
        <f>(COUNTIF(M27:M111,"Possédée")+COUNTIF(M27:M111,"Assiégée"))*15</f>
        <v>135</v>
      </c>
      <c r="K20" s="111">
        <f>(COUNTIF(M27:M111,"Possédée")+COUNTIF(M27:M111,"Assiégée"))*15</f>
        <v>135</v>
      </c>
      <c r="L20" s="111">
        <f>(COUNTIF(M27:M111,"Possédée")+COUNTIF(M27:M111,"Assiégée"))*15</f>
        <v>135</v>
      </c>
    </row>
    <row r="21" spans="1:17" x14ac:dyDescent="0.25">
      <c r="A21" s="103" t="s">
        <v>159</v>
      </c>
      <c r="B21" s="97"/>
      <c r="C21" s="112">
        <f>C19-C20</f>
        <v>-65</v>
      </c>
      <c r="D21" s="112">
        <f t="shared" ref="D21:L21" si="4">D19-D20</f>
        <v>245</v>
      </c>
      <c r="E21" s="112">
        <f>E19-E20</f>
        <v>55</v>
      </c>
      <c r="F21" s="112">
        <f>F19-F20</f>
        <v>5</v>
      </c>
      <c r="G21" s="112">
        <f t="shared" si="4"/>
        <v>345</v>
      </c>
      <c r="H21" s="112">
        <f t="shared" si="4"/>
        <v>-135</v>
      </c>
      <c r="I21" s="112">
        <f t="shared" si="4"/>
        <v>-135</v>
      </c>
      <c r="J21" s="112">
        <f t="shared" si="4"/>
        <v>-135</v>
      </c>
      <c r="K21" s="112">
        <f t="shared" si="4"/>
        <v>175</v>
      </c>
      <c r="L21" s="112">
        <f t="shared" si="4"/>
        <v>-135</v>
      </c>
    </row>
    <row r="22" spans="1:17" x14ac:dyDescent="0.25">
      <c r="A22" s="103"/>
      <c r="B22" s="97"/>
    </row>
    <row r="23" spans="1:17" x14ac:dyDescent="0.25">
      <c r="O23" s="99" t="s">
        <v>176</v>
      </c>
    </row>
    <row r="24" spans="1:17" ht="15.75" thickBot="1" x14ac:dyDescent="0.3">
      <c r="A24" s="114" t="s">
        <v>160</v>
      </c>
      <c r="H24" s="97"/>
      <c r="I24" s="97"/>
      <c r="J24" s="97"/>
    </row>
    <row r="25" spans="1:17" ht="15.75" thickBot="1" x14ac:dyDescent="0.3">
      <c r="A25" s="121" t="s">
        <v>168</v>
      </c>
      <c r="B25" s="75" t="s">
        <v>167</v>
      </c>
      <c r="C25" s="159" t="s">
        <v>169</v>
      </c>
      <c r="D25" s="160"/>
      <c r="E25" s="160"/>
      <c r="F25" s="160"/>
      <c r="G25" s="160"/>
      <c r="H25" s="160"/>
      <c r="I25" s="160"/>
      <c r="J25" s="160"/>
      <c r="K25" s="160"/>
      <c r="L25" s="161"/>
      <c r="M25" s="129" t="s">
        <v>171</v>
      </c>
      <c r="N25" s="115" t="s">
        <v>172</v>
      </c>
      <c r="O25" s="129" t="s">
        <v>213</v>
      </c>
      <c r="P25" s="154" t="s">
        <v>203</v>
      </c>
      <c r="Q25" s="155"/>
    </row>
    <row r="26" spans="1:17" ht="15.75" thickBot="1" x14ac:dyDescent="0.3">
      <c r="A26" s="3" t="s">
        <v>22</v>
      </c>
      <c r="B26" s="120" t="s">
        <v>166</v>
      </c>
      <c r="C26" s="91" t="s">
        <v>8</v>
      </c>
      <c r="D26" s="92" t="s">
        <v>9</v>
      </c>
      <c r="E26" s="92" t="s">
        <v>10</v>
      </c>
      <c r="F26" s="92" t="s">
        <v>137</v>
      </c>
      <c r="G26" s="92" t="s">
        <v>11</v>
      </c>
      <c r="H26" s="92" t="s">
        <v>138</v>
      </c>
      <c r="I26" s="92" t="s">
        <v>139</v>
      </c>
      <c r="J26" s="92" t="s">
        <v>12</v>
      </c>
      <c r="K26" s="92" t="s">
        <v>13</v>
      </c>
      <c r="L26" s="93" t="s">
        <v>105</v>
      </c>
      <c r="M26" s="130" t="s">
        <v>175</v>
      </c>
      <c r="N26" s="118" t="s">
        <v>177</v>
      </c>
      <c r="O26" s="130" t="s">
        <v>214</v>
      </c>
      <c r="P26" s="147" t="s">
        <v>204</v>
      </c>
      <c r="Q26" s="148" t="s">
        <v>205</v>
      </c>
    </row>
    <row r="27" spans="1:17" x14ac:dyDescent="0.25">
      <c r="A27" t="s">
        <v>0</v>
      </c>
      <c r="B27" s="115">
        <v>15</v>
      </c>
      <c r="C27" s="15"/>
      <c r="D27" s="15"/>
      <c r="E27" s="15"/>
      <c r="F27" s="15"/>
      <c r="G27" s="15"/>
      <c r="H27" s="15"/>
      <c r="I27" s="15">
        <f>TRUNC(90*Q27*(1-L7)*(1-N27))</f>
        <v>0</v>
      </c>
      <c r="J27" s="15"/>
      <c r="K27" s="15"/>
      <c r="L27" s="16">
        <f>TRUNC(120*Q27*(1-L7)*(1-N27))</f>
        <v>0</v>
      </c>
      <c r="M27" s="126" t="s">
        <v>173</v>
      </c>
      <c r="N27" s="123">
        <v>0</v>
      </c>
      <c r="O27" s="149">
        <f>IF(E$6="Archipel de l'Automne",60000*Q27*(1-L$7)*(1-N27),30000*Q27*(1-L$7)*(1-N27))</f>
        <v>0</v>
      </c>
      <c r="P27" s="143">
        <f>IF(OR(M27="Possédée",M27="Assiégée"),B27,0)</f>
        <v>0</v>
      </c>
      <c r="Q27" s="144">
        <f>IF(M27="Possédée",1,IF(M27="Assiégée",0.5,0))</f>
        <v>0</v>
      </c>
    </row>
    <row r="28" spans="1:17" x14ac:dyDescent="0.25">
      <c r="A28" t="s">
        <v>1</v>
      </c>
      <c r="B28" s="116">
        <v>15</v>
      </c>
      <c r="C28" s="17"/>
      <c r="D28" s="17"/>
      <c r="E28" s="17"/>
      <c r="F28" s="17"/>
      <c r="G28" s="17">
        <f>TRUNC(30*Q28*(1-L7)*(1-N28))</f>
        <v>0</v>
      </c>
      <c r="H28" s="17"/>
      <c r="I28" s="17"/>
      <c r="J28" s="17"/>
      <c r="K28" s="17"/>
      <c r="L28" s="18">
        <f>TRUNC(140*Q28*(1-L7)*(1-N28))</f>
        <v>0</v>
      </c>
      <c r="M28" s="127" t="s">
        <v>173</v>
      </c>
      <c r="N28" s="124">
        <v>0</v>
      </c>
      <c r="O28" s="150">
        <f>30000*Q28*(1-L$7)*(1-N28)</f>
        <v>0</v>
      </c>
      <c r="P28" s="145">
        <f>IF(OR(M28="Possédée",M28="Assiégée"),B28,0)</f>
        <v>0</v>
      </c>
      <c r="Q28" s="146">
        <f t="shared" ref="Q28:Q91" si="5">IF(M28="Possédée",1,IF(M28="Assiégée",0.5,0))</f>
        <v>0</v>
      </c>
    </row>
    <row r="29" spans="1:17" x14ac:dyDescent="0.25">
      <c r="A29" t="s">
        <v>2</v>
      </c>
      <c r="B29" s="116">
        <v>15</v>
      </c>
      <c r="C29" s="17">
        <f>TRUNC(60*Q29*(1-L7)*(1-N29))</f>
        <v>0</v>
      </c>
      <c r="D29" s="17"/>
      <c r="E29" s="17"/>
      <c r="F29" s="17"/>
      <c r="G29" s="17"/>
      <c r="H29" s="17"/>
      <c r="I29" s="17">
        <f>TRUNC(110*Q29*(1-L7)*(1-N29))</f>
        <v>0</v>
      </c>
      <c r="J29" s="17"/>
      <c r="K29" s="17"/>
      <c r="L29" s="18"/>
      <c r="M29" s="127" t="s">
        <v>173</v>
      </c>
      <c r="N29" s="124">
        <v>0</v>
      </c>
      <c r="O29" s="150">
        <f t="shared" ref="O29:O34" si="6">30000*Q29*(1-L$7)*(1-N29)</f>
        <v>0</v>
      </c>
      <c r="P29" s="145">
        <f t="shared" ref="P29:P92" si="7">IF(OR(M29="Possédée",M29="Assiégée"),B29,0)</f>
        <v>0</v>
      </c>
      <c r="Q29" s="146">
        <f t="shared" si="5"/>
        <v>0</v>
      </c>
    </row>
    <row r="30" spans="1:17" x14ac:dyDescent="0.25">
      <c r="A30" t="s">
        <v>3</v>
      </c>
      <c r="B30" s="116">
        <v>15</v>
      </c>
      <c r="C30" s="17">
        <f>TRUNC(40*Q30*(1-L7)*(1-N30))</f>
        <v>0</v>
      </c>
      <c r="D30" s="17"/>
      <c r="E30" s="17"/>
      <c r="F30" s="17"/>
      <c r="G30" s="17"/>
      <c r="H30" s="17"/>
      <c r="I30" s="17">
        <f>TRUNC(60*Q30*(1-L7)*(1-N30))</f>
        <v>0</v>
      </c>
      <c r="J30" s="17"/>
      <c r="K30" s="17">
        <f>TRUNC(70*Q30*(1-L7)*(1-N30))</f>
        <v>0</v>
      </c>
      <c r="L30" s="18"/>
      <c r="M30" s="127" t="s">
        <v>173</v>
      </c>
      <c r="N30" s="124">
        <v>0</v>
      </c>
      <c r="O30" s="150">
        <f t="shared" si="6"/>
        <v>0</v>
      </c>
      <c r="P30" s="145">
        <f t="shared" si="7"/>
        <v>0</v>
      </c>
      <c r="Q30" s="146">
        <f t="shared" si="5"/>
        <v>0</v>
      </c>
    </row>
    <row r="31" spans="1:17" x14ac:dyDescent="0.25">
      <c r="A31" t="s">
        <v>4</v>
      </c>
      <c r="B31" s="116">
        <v>15</v>
      </c>
      <c r="C31" s="17"/>
      <c r="D31" s="17"/>
      <c r="E31" s="17"/>
      <c r="F31" s="17"/>
      <c r="G31" s="17"/>
      <c r="H31" s="17"/>
      <c r="I31" s="17">
        <f>TRUNC(80*Q31*(1-L7)*(1-N31))</f>
        <v>0</v>
      </c>
      <c r="J31" s="17"/>
      <c r="K31" s="17"/>
      <c r="L31" s="18">
        <f>TRUNC(90*Q31*(1-L7)*(1-N31))</f>
        <v>0</v>
      </c>
      <c r="M31" s="127" t="s">
        <v>173</v>
      </c>
      <c r="N31" s="124">
        <v>0</v>
      </c>
      <c r="O31" s="150">
        <f t="shared" si="6"/>
        <v>0</v>
      </c>
      <c r="P31" s="145">
        <f t="shared" si="7"/>
        <v>0</v>
      </c>
      <c r="Q31" s="146">
        <f t="shared" si="5"/>
        <v>0</v>
      </c>
    </row>
    <row r="32" spans="1:17" x14ac:dyDescent="0.25">
      <c r="A32" t="s">
        <v>5</v>
      </c>
      <c r="B32" s="116">
        <v>15</v>
      </c>
      <c r="C32" s="17"/>
      <c r="D32" s="17"/>
      <c r="E32" s="17"/>
      <c r="F32" s="17"/>
      <c r="G32" s="17"/>
      <c r="H32" s="17"/>
      <c r="I32" s="17"/>
      <c r="J32" s="17"/>
      <c r="K32" s="17">
        <f>TRUNC(170*Q32*(1-L7)*(1-N32))</f>
        <v>0</v>
      </c>
      <c r="L32" s="18"/>
      <c r="M32" s="127" t="s">
        <v>173</v>
      </c>
      <c r="N32" s="124">
        <v>0</v>
      </c>
      <c r="O32" s="150">
        <f t="shared" si="6"/>
        <v>0</v>
      </c>
      <c r="P32" s="145">
        <f t="shared" si="7"/>
        <v>0</v>
      </c>
      <c r="Q32" s="146">
        <f t="shared" si="5"/>
        <v>0</v>
      </c>
    </row>
    <row r="33" spans="1:17" x14ac:dyDescent="0.25">
      <c r="A33" t="s">
        <v>6</v>
      </c>
      <c r="B33" s="116">
        <v>15</v>
      </c>
      <c r="C33" s="17">
        <f>TRUNC(40*Q33*(1-L7)*(1-N33))</f>
        <v>0</v>
      </c>
      <c r="D33" s="17"/>
      <c r="E33" s="17"/>
      <c r="F33" s="17">
        <f>TRUNC(130*Q33*(1-L7)*(1-N33))</f>
        <v>0</v>
      </c>
      <c r="G33" s="17"/>
      <c r="H33" s="17"/>
      <c r="I33" s="17"/>
      <c r="J33" s="17"/>
      <c r="K33" s="17"/>
      <c r="L33" s="18"/>
      <c r="M33" s="127" t="s">
        <v>173</v>
      </c>
      <c r="N33" s="124">
        <v>0</v>
      </c>
      <c r="O33" s="150">
        <f t="shared" si="6"/>
        <v>0</v>
      </c>
      <c r="P33" s="145">
        <f t="shared" si="7"/>
        <v>0</v>
      </c>
      <c r="Q33" s="146">
        <f t="shared" si="5"/>
        <v>0</v>
      </c>
    </row>
    <row r="34" spans="1:17" ht="15.75" thickBot="1" x14ac:dyDescent="0.3">
      <c r="A34" t="s">
        <v>7</v>
      </c>
      <c r="B34" s="116">
        <v>15</v>
      </c>
      <c r="C34" s="17"/>
      <c r="D34" s="17">
        <f>TRUNC(70*Q34*(1-L7)*(1-N34))</f>
        <v>0</v>
      </c>
      <c r="E34" s="17"/>
      <c r="F34" s="17"/>
      <c r="G34" s="17"/>
      <c r="H34" s="17"/>
      <c r="I34" s="17"/>
      <c r="J34" s="17"/>
      <c r="K34" s="17"/>
      <c r="L34" s="18">
        <f>TRUNC(100*Q34*(1-L7)*(1-N34))</f>
        <v>0</v>
      </c>
      <c r="M34" s="127" t="s">
        <v>173</v>
      </c>
      <c r="N34" s="124">
        <v>0</v>
      </c>
      <c r="O34" s="150">
        <f t="shared" si="6"/>
        <v>0</v>
      </c>
      <c r="P34" s="145">
        <f>IF(OR(M34="Possédée",M34="Assiégée"),B34,0)</f>
        <v>0</v>
      </c>
      <c r="Q34" s="146">
        <f t="shared" si="5"/>
        <v>0</v>
      </c>
    </row>
    <row r="35" spans="1:17" ht="15.75" thickBot="1" x14ac:dyDescent="0.3">
      <c r="A35" s="10" t="s">
        <v>23</v>
      </c>
      <c r="B35" s="117" t="s">
        <v>166</v>
      </c>
      <c r="C35" s="91" t="s">
        <v>8</v>
      </c>
      <c r="D35" s="92" t="s">
        <v>9</v>
      </c>
      <c r="E35" s="92" t="s">
        <v>10</v>
      </c>
      <c r="F35" s="92" t="s">
        <v>137</v>
      </c>
      <c r="G35" s="92" t="s">
        <v>11</v>
      </c>
      <c r="H35" s="92" t="s">
        <v>138</v>
      </c>
      <c r="I35" s="92" t="s">
        <v>139</v>
      </c>
      <c r="J35" s="92" t="s">
        <v>12</v>
      </c>
      <c r="K35" s="92" t="s">
        <v>13</v>
      </c>
      <c r="L35" s="93" t="s">
        <v>105</v>
      </c>
      <c r="M35" s="93"/>
      <c r="N35" s="93"/>
      <c r="O35" s="151"/>
      <c r="P35" s="147"/>
      <c r="Q35" s="148"/>
    </row>
    <row r="36" spans="1:17" x14ac:dyDescent="0.25">
      <c r="A36" t="s">
        <v>14</v>
      </c>
      <c r="B36" s="115">
        <v>15</v>
      </c>
      <c r="C36" s="19"/>
      <c r="D36" s="17"/>
      <c r="E36" s="17">
        <f>TRUNC(60*Q36*(1-L7)*(1-N36))</f>
        <v>60</v>
      </c>
      <c r="F36" s="17"/>
      <c r="G36" s="17">
        <f>TRUNC(150*Q36*(1-L7)*(1-N36))</f>
        <v>150</v>
      </c>
      <c r="H36" s="17"/>
      <c r="I36" s="17"/>
      <c r="J36" s="17"/>
      <c r="K36" s="17"/>
      <c r="L36" s="18"/>
      <c r="M36" s="127" t="s">
        <v>174</v>
      </c>
      <c r="N36" s="124">
        <v>0</v>
      </c>
      <c r="O36" s="149">
        <f>IF(E$6="Bordeciel",60000*Q36*(1-L$7)*(1-N36),30000*Q36*(1-L$7)*(1-N36))</f>
        <v>60000</v>
      </c>
      <c r="P36" s="145">
        <f t="shared" si="7"/>
        <v>15</v>
      </c>
      <c r="Q36" s="146">
        <f t="shared" si="5"/>
        <v>1</v>
      </c>
    </row>
    <row r="37" spans="1:17" x14ac:dyDescent="0.25">
      <c r="A37" t="s">
        <v>15</v>
      </c>
      <c r="B37" s="116">
        <v>15</v>
      </c>
      <c r="C37" s="19"/>
      <c r="D37" s="17"/>
      <c r="E37" s="17"/>
      <c r="F37" s="17"/>
      <c r="G37" s="17"/>
      <c r="H37" s="17"/>
      <c r="I37" s="17"/>
      <c r="J37" s="17"/>
      <c r="K37" s="17">
        <f>TRUNC(170*Q37*(1-L7)*(1-N37))</f>
        <v>170</v>
      </c>
      <c r="L37" s="18"/>
      <c r="M37" s="127" t="s">
        <v>174</v>
      </c>
      <c r="N37" s="124">
        <v>0</v>
      </c>
      <c r="O37" s="150">
        <f>30000*Q37*(1-L$7)*(1-N37)</f>
        <v>30000</v>
      </c>
      <c r="P37" s="145">
        <f t="shared" si="7"/>
        <v>15</v>
      </c>
      <c r="Q37" s="146">
        <f t="shared" si="5"/>
        <v>1</v>
      </c>
    </row>
    <row r="38" spans="1:17" x14ac:dyDescent="0.25">
      <c r="A38" t="s">
        <v>16</v>
      </c>
      <c r="B38" s="116">
        <v>15</v>
      </c>
      <c r="C38" s="19"/>
      <c r="D38" s="17">
        <f>TRUNC(130*Q38*(1-L7)*(1-N38))</f>
        <v>130</v>
      </c>
      <c r="E38" s="17"/>
      <c r="F38" s="17"/>
      <c r="G38" s="17">
        <f>TRUNC(40*Q38*(1-L7)*(1-N38))</f>
        <v>40</v>
      </c>
      <c r="H38" s="17"/>
      <c r="I38" s="17"/>
      <c r="J38" s="17"/>
      <c r="K38" s="17"/>
      <c r="L38" s="18"/>
      <c r="M38" s="127" t="s">
        <v>174</v>
      </c>
      <c r="N38" s="124">
        <v>0</v>
      </c>
      <c r="O38" s="150">
        <f t="shared" ref="O38:O43" si="8">30000*Q38*(1-L$7)*(1-N38)</f>
        <v>30000</v>
      </c>
      <c r="P38" s="145">
        <f t="shared" si="7"/>
        <v>15</v>
      </c>
      <c r="Q38" s="146">
        <f t="shared" si="5"/>
        <v>1</v>
      </c>
    </row>
    <row r="39" spans="1:17" x14ac:dyDescent="0.25">
      <c r="A39" t="s">
        <v>17</v>
      </c>
      <c r="B39" s="116">
        <v>15</v>
      </c>
      <c r="C39" s="19">
        <f>TRUNC(70*Q39*(1-L7)*(1-N39))</f>
        <v>70</v>
      </c>
      <c r="D39" s="17">
        <f>TRUNC(60*Q39*(1-L7)*(1-N39))</f>
        <v>60</v>
      </c>
      <c r="E39" s="17">
        <f>TRUNC(40*Q39*(1-L7)*(1-N39))</f>
        <v>40</v>
      </c>
      <c r="F39" s="17"/>
      <c r="G39" s="17"/>
      <c r="H39" s="17"/>
      <c r="I39" s="17"/>
      <c r="J39" s="17"/>
      <c r="K39" s="17"/>
      <c r="L39" s="18"/>
      <c r="M39" s="127" t="s">
        <v>174</v>
      </c>
      <c r="N39" s="124">
        <v>0</v>
      </c>
      <c r="O39" s="150">
        <f t="shared" si="8"/>
        <v>30000</v>
      </c>
      <c r="P39" s="145">
        <f t="shared" si="7"/>
        <v>15</v>
      </c>
      <c r="Q39" s="146">
        <f t="shared" si="5"/>
        <v>1</v>
      </c>
    </row>
    <row r="40" spans="1:17" x14ac:dyDescent="0.25">
      <c r="A40" t="s">
        <v>18</v>
      </c>
      <c r="B40" s="116">
        <v>15</v>
      </c>
      <c r="C40" s="19"/>
      <c r="D40" s="17">
        <f>TRUNC(20*Q40*(1-L7)*(1-N40))</f>
        <v>20</v>
      </c>
      <c r="E40" s="17"/>
      <c r="F40" s="17">
        <f>TRUNC(100*Q40*(1-L7)*(1-N40))</f>
        <v>100</v>
      </c>
      <c r="G40" s="17">
        <f>TRUNC(50*Q40*(1-L7)*(1-N40))</f>
        <v>50</v>
      </c>
      <c r="H40" s="17"/>
      <c r="I40" s="17"/>
      <c r="J40" s="17"/>
      <c r="K40" s="17"/>
      <c r="L40" s="18"/>
      <c r="M40" s="127" t="s">
        <v>174</v>
      </c>
      <c r="N40" s="124">
        <v>0</v>
      </c>
      <c r="O40" s="150">
        <f t="shared" si="8"/>
        <v>30000</v>
      </c>
      <c r="P40" s="145">
        <f t="shared" si="7"/>
        <v>15</v>
      </c>
      <c r="Q40" s="146">
        <f t="shared" si="5"/>
        <v>1</v>
      </c>
    </row>
    <row r="41" spans="1:17" x14ac:dyDescent="0.25">
      <c r="A41" t="s">
        <v>19</v>
      </c>
      <c r="B41" s="116">
        <v>15</v>
      </c>
      <c r="C41" s="19"/>
      <c r="D41" s="17"/>
      <c r="E41" s="17"/>
      <c r="F41" s="17"/>
      <c r="G41" s="17">
        <f>TRUNC(170*Q41*(1-L7)*(1-N41))</f>
        <v>170</v>
      </c>
      <c r="H41" s="17"/>
      <c r="I41" s="17"/>
      <c r="J41" s="17"/>
      <c r="K41" s="17"/>
      <c r="L41" s="18"/>
      <c r="M41" s="127" t="s">
        <v>174</v>
      </c>
      <c r="N41" s="124">
        <v>0</v>
      </c>
      <c r="O41" s="150">
        <f t="shared" si="8"/>
        <v>30000</v>
      </c>
      <c r="P41" s="145">
        <f t="shared" si="7"/>
        <v>15</v>
      </c>
      <c r="Q41" s="146">
        <f t="shared" si="5"/>
        <v>1</v>
      </c>
    </row>
    <row r="42" spans="1:17" x14ac:dyDescent="0.25">
      <c r="A42" t="s">
        <v>20</v>
      </c>
      <c r="B42" s="116">
        <v>15</v>
      </c>
      <c r="C42" s="19"/>
      <c r="D42" s="17"/>
      <c r="E42" s="17">
        <f>TRUNC(90*Q42*(1-L7)*(1-N42))</f>
        <v>90</v>
      </c>
      <c r="F42" s="17">
        <f>TRUNC(40*Q42*(1-L7)*(1-N42))</f>
        <v>40</v>
      </c>
      <c r="G42" s="17"/>
      <c r="H42" s="17"/>
      <c r="I42" s="17"/>
      <c r="J42" s="17"/>
      <c r="K42" s="17">
        <f>TRUNC(40*Q42*(1-L7)*(1-N42))</f>
        <v>40</v>
      </c>
      <c r="L42" s="18"/>
      <c r="M42" s="127" t="s">
        <v>174</v>
      </c>
      <c r="N42" s="124">
        <v>0</v>
      </c>
      <c r="O42" s="150">
        <f t="shared" si="8"/>
        <v>30000</v>
      </c>
      <c r="P42" s="145">
        <f t="shared" si="7"/>
        <v>15</v>
      </c>
      <c r="Q42" s="146">
        <f t="shared" si="5"/>
        <v>1</v>
      </c>
    </row>
    <row r="43" spans="1:17" ht="15.75" thickBot="1" x14ac:dyDescent="0.3">
      <c r="A43" t="s">
        <v>21</v>
      </c>
      <c r="B43" s="116">
        <v>15</v>
      </c>
      <c r="C43" s="19"/>
      <c r="D43" s="17"/>
      <c r="E43" s="17"/>
      <c r="F43" s="17"/>
      <c r="G43" s="17">
        <f>TRUNC(70*Q43*(1-L7)*(1-N43))</f>
        <v>70</v>
      </c>
      <c r="H43" s="17"/>
      <c r="I43" s="17"/>
      <c r="J43" s="17"/>
      <c r="K43" s="17">
        <f>TRUNC(100*Q43*(1-L7)*(1-N43))</f>
        <v>100</v>
      </c>
      <c r="L43" s="18"/>
      <c r="M43" s="127" t="s">
        <v>174</v>
      </c>
      <c r="N43" s="124">
        <v>0</v>
      </c>
      <c r="O43" s="150">
        <f t="shared" si="8"/>
        <v>30000</v>
      </c>
      <c r="P43" s="145">
        <f t="shared" si="7"/>
        <v>15</v>
      </c>
      <c r="Q43" s="146">
        <f t="shared" si="5"/>
        <v>1</v>
      </c>
    </row>
    <row r="44" spans="1:17" ht="15.75" thickBot="1" x14ac:dyDescent="0.3">
      <c r="A44" s="3" t="s">
        <v>24</v>
      </c>
      <c r="B44" s="117" t="s">
        <v>166</v>
      </c>
      <c r="C44" s="91" t="s">
        <v>8</v>
      </c>
      <c r="D44" s="92" t="s">
        <v>9</v>
      </c>
      <c r="E44" s="92" t="s">
        <v>10</v>
      </c>
      <c r="F44" s="92" t="s">
        <v>137</v>
      </c>
      <c r="G44" s="92" t="s">
        <v>11</v>
      </c>
      <c r="H44" s="92" t="s">
        <v>138</v>
      </c>
      <c r="I44" s="92" t="s">
        <v>139</v>
      </c>
      <c r="J44" s="92" t="s">
        <v>12</v>
      </c>
      <c r="K44" s="92" t="s">
        <v>13</v>
      </c>
      <c r="L44" s="93" t="s">
        <v>105</v>
      </c>
      <c r="M44" s="93"/>
      <c r="N44" s="93"/>
      <c r="O44" s="151"/>
      <c r="P44" s="147"/>
      <c r="Q44" s="148"/>
    </row>
    <row r="45" spans="1:17" x14ac:dyDescent="0.25">
      <c r="A45" t="s">
        <v>25</v>
      </c>
      <c r="B45" s="115">
        <v>15</v>
      </c>
      <c r="C45" s="15"/>
      <c r="D45" s="15">
        <f>TRUNC(20*Q45*(1-L7)*(1-N45))</f>
        <v>0</v>
      </c>
      <c r="E45" s="15"/>
      <c r="F45" s="15"/>
      <c r="G45" s="15"/>
      <c r="H45" s="15"/>
      <c r="I45" s="15">
        <f>TRUNC(150*Q45*(1-L7)*(1-N45))</f>
        <v>0</v>
      </c>
      <c r="J45" s="15"/>
      <c r="K45" s="15"/>
      <c r="L45" s="16">
        <f>TRUNC(40*Q45*(1-L7)*(1-N45))</f>
        <v>0</v>
      </c>
      <c r="M45" s="127" t="s">
        <v>173</v>
      </c>
      <c r="N45" s="124">
        <v>0</v>
      </c>
      <c r="O45" s="149">
        <f>IF(E$6="Cyrodiil",60000*Q45*(1-L$7)*(1-N45),30000*Q45*(1-L$7)*(1-N45))</f>
        <v>0</v>
      </c>
      <c r="P45" s="145">
        <f t="shared" si="7"/>
        <v>0</v>
      </c>
      <c r="Q45" s="146">
        <f t="shared" si="5"/>
        <v>0</v>
      </c>
    </row>
    <row r="46" spans="1:17" x14ac:dyDescent="0.25">
      <c r="A46" t="s">
        <v>27</v>
      </c>
      <c r="B46" s="116">
        <v>15</v>
      </c>
      <c r="C46" s="17"/>
      <c r="D46" s="17">
        <f>TRUNC(120*Q46*(1-L7)*(1-N46))</f>
        <v>0</v>
      </c>
      <c r="E46" s="17">
        <f>TRUNC(50*Q46*(1-L7)*(1-N46))</f>
        <v>0</v>
      </c>
      <c r="F46" s="17"/>
      <c r="G46" s="17"/>
      <c r="H46" s="17"/>
      <c r="I46" s="17"/>
      <c r="J46" s="17"/>
      <c r="K46" s="17"/>
      <c r="L46" s="18"/>
      <c r="M46" s="127" t="s">
        <v>173</v>
      </c>
      <c r="N46" s="124">
        <v>0</v>
      </c>
      <c r="O46" s="150">
        <f>30000*Q46*(1-L$7)*(1-N46)</f>
        <v>0</v>
      </c>
      <c r="P46" s="145">
        <f t="shared" si="7"/>
        <v>0</v>
      </c>
      <c r="Q46" s="146">
        <f t="shared" si="5"/>
        <v>0</v>
      </c>
    </row>
    <row r="47" spans="1:17" x14ac:dyDescent="0.25">
      <c r="A47" t="s">
        <v>26</v>
      </c>
      <c r="B47" s="116">
        <v>15</v>
      </c>
      <c r="C47" s="17"/>
      <c r="D47" s="17">
        <f>TRUNC(60*Q47*(1-L7)*(1-N47))</f>
        <v>0</v>
      </c>
      <c r="E47" s="17">
        <f>TRUNC(110*Q47*(1-L7)*(1-N47))</f>
        <v>0</v>
      </c>
      <c r="F47" s="17"/>
      <c r="G47" s="17"/>
      <c r="H47" s="17"/>
      <c r="I47" s="17"/>
      <c r="J47" s="17"/>
      <c r="K47" s="17"/>
      <c r="L47" s="18"/>
      <c r="M47" s="127" t="s">
        <v>173</v>
      </c>
      <c r="N47" s="124">
        <v>0</v>
      </c>
      <c r="O47" s="150">
        <f>30000*Q47*(1-L$7)*(1-N47)</f>
        <v>0</v>
      </c>
      <c r="P47" s="145">
        <f t="shared" si="7"/>
        <v>0</v>
      </c>
      <c r="Q47" s="146">
        <f t="shared" si="5"/>
        <v>0</v>
      </c>
    </row>
    <row r="48" spans="1:17" x14ac:dyDescent="0.25">
      <c r="A48" t="s">
        <v>28</v>
      </c>
      <c r="B48" s="116">
        <v>15</v>
      </c>
      <c r="C48" s="17"/>
      <c r="D48" s="17">
        <f>TRUNC(170*Q48*(1-L7)*(1-N48))</f>
        <v>170</v>
      </c>
      <c r="E48" s="17"/>
      <c r="F48" s="17"/>
      <c r="G48" s="17"/>
      <c r="H48" s="17"/>
      <c r="I48" s="17"/>
      <c r="J48" s="17"/>
      <c r="K48" s="17"/>
      <c r="L48" s="18"/>
      <c r="M48" s="127" t="s">
        <v>174</v>
      </c>
      <c r="N48" s="124">
        <v>0</v>
      </c>
      <c r="O48" s="150">
        <f t="shared" ref="O48:O53" si="9">30000*Q48*(1-L$7)*(1-N48)</f>
        <v>30000</v>
      </c>
      <c r="P48" s="145">
        <f t="shared" si="7"/>
        <v>15</v>
      </c>
      <c r="Q48" s="146">
        <f t="shared" si="5"/>
        <v>1</v>
      </c>
    </row>
    <row r="49" spans="1:17" x14ac:dyDescent="0.25">
      <c r="A49" t="s">
        <v>29</v>
      </c>
      <c r="B49" s="116">
        <v>15</v>
      </c>
      <c r="C49" s="17"/>
      <c r="D49" s="17"/>
      <c r="E49" s="17"/>
      <c r="F49" s="17"/>
      <c r="G49" s="17"/>
      <c r="H49" s="17"/>
      <c r="I49" s="17"/>
      <c r="J49" s="17">
        <f>TRUNC(170*Q49*(1-L7)*(1-N49))</f>
        <v>0</v>
      </c>
      <c r="K49" s="17"/>
      <c r="L49" s="18"/>
      <c r="M49" s="127" t="s">
        <v>173</v>
      </c>
      <c r="N49" s="124">
        <v>0</v>
      </c>
      <c r="O49" s="150">
        <f t="shared" si="9"/>
        <v>0</v>
      </c>
      <c r="P49" s="145">
        <f t="shared" si="7"/>
        <v>0</v>
      </c>
      <c r="Q49" s="146">
        <f t="shared" si="5"/>
        <v>0</v>
      </c>
    </row>
    <row r="50" spans="1:17" x14ac:dyDescent="0.25">
      <c r="A50" t="s">
        <v>58</v>
      </c>
      <c r="B50" s="116">
        <v>15</v>
      </c>
      <c r="C50" s="17">
        <f>TRUNC(170*Q50*(1-L7)*(1-N50))</f>
        <v>0</v>
      </c>
      <c r="D50" s="17"/>
      <c r="E50" s="17"/>
      <c r="F50" s="17"/>
      <c r="G50" s="17"/>
      <c r="H50" s="17"/>
      <c r="I50" s="17"/>
      <c r="J50" s="17"/>
      <c r="K50" s="17"/>
      <c r="L50" s="18"/>
      <c r="M50" s="127" t="s">
        <v>173</v>
      </c>
      <c r="N50" s="124">
        <v>0</v>
      </c>
      <c r="O50" s="150">
        <f t="shared" si="9"/>
        <v>0</v>
      </c>
      <c r="P50" s="145">
        <f t="shared" si="7"/>
        <v>0</v>
      </c>
      <c r="Q50" s="146">
        <f t="shared" si="5"/>
        <v>0</v>
      </c>
    </row>
    <row r="51" spans="1:17" x14ac:dyDescent="0.25">
      <c r="A51" t="s">
        <v>30</v>
      </c>
      <c r="B51" s="116">
        <v>15</v>
      </c>
      <c r="C51" s="17">
        <f>TRUNC(100*Q51*(1-L7)*(1-N51))</f>
        <v>0</v>
      </c>
      <c r="D51" s="17"/>
      <c r="E51" s="17"/>
      <c r="F51" s="17"/>
      <c r="G51" s="17"/>
      <c r="H51" s="17"/>
      <c r="I51" s="17"/>
      <c r="J51" s="17">
        <f>TRUNC(70*Q51*(1-L7)*(1-N51))</f>
        <v>0</v>
      </c>
      <c r="K51" s="17"/>
      <c r="L51" s="18"/>
      <c r="M51" s="127" t="s">
        <v>173</v>
      </c>
      <c r="N51" s="124">
        <v>0</v>
      </c>
      <c r="O51" s="150">
        <f t="shared" si="9"/>
        <v>0</v>
      </c>
      <c r="P51" s="145">
        <f t="shared" si="7"/>
        <v>0</v>
      </c>
      <c r="Q51" s="146">
        <f t="shared" si="5"/>
        <v>0</v>
      </c>
    </row>
    <row r="52" spans="1:17" x14ac:dyDescent="0.25">
      <c r="A52" t="s">
        <v>31</v>
      </c>
      <c r="B52" s="116">
        <v>15</v>
      </c>
      <c r="C52" s="17">
        <f>TRUNC(90*Q52*(1-L7)*(1-N52))</f>
        <v>0</v>
      </c>
      <c r="D52" s="17"/>
      <c r="E52" s="17">
        <f>TRUNC(40*Q52*(1-L7)*(1-N52))</f>
        <v>0</v>
      </c>
      <c r="F52" s="17">
        <f>TRUNC(40*Q52*(1-L7)*(1-N52))</f>
        <v>0</v>
      </c>
      <c r="G52" s="17"/>
      <c r="H52" s="17"/>
      <c r="I52" s="17"/>
      <c r="J52" s="17"/>
      <c r="K52" s="17"/>
      <c r="L52" s="18"/>
      <c r="M52" s="127" t="s">
        <v>173</v>
      </c>
      <c r="N52" s="124">
        <v>0</v>
      </c>
      <c r="O52" s="150">
        <f t="shared" si="9"/>
        <v>0</v>
      </c>
      <c r="P52" s="145">
        <f t="shared" si="7"/>
        <v>0</v>
      </c>
      <c r="Q52" s="146">
        <f t="shared" si="5"/>
        <v>0</v>
      </c>
    </row>
    <row r="53" spans="1:17" ht="15.75" thickBot="1" x14ac:dyDescent="0.3">
      <c r="A53" t="s">
        <v>32</v>
      </c>
      <c r="B53" s="118">
        <v>15</v>
      </c>
      <c r="C53" s="20">
        <f>TRUNC(110*Q53*(1-L7)*(1-N53))</f>
        <v>0</v>
      </c>
      <c r="D53" s="21"/>
      <c r="E53" s="21"/>
      <c r="F53" s="21"/>
      <c r="G53" s="21"/>
      <c r="H53" s="21">
        <f>TRUNC(60*Q53*(1-L7)*(1-N53))</f>
        <v>0</v>
      </c>
      <c r="I53" s="21"/>
      <c r="J53" s="21"/>
      <c r="K53" s="21"/>
      <c r="L53" s="22"/>
      <c r="M53" s="127" t="s">
        <v>173</v>
      </c>
      <c r="N53" s="124">
        <v>0</v>
      </c>
      <c r="O53" s="150">
        <f t="shared" si="9"/>
        <v>0</v>
      </c>
      <c r="P53" s="145">
        <f t="shared" si="7"/>
        <v>0</v>
      </c>
      <c r="Q53" s="146">
        <f t="shared" si="5"/>
        <v>0</v>
      </c>
    </row>
    <row r="54" spans="1:17" ht="15.75" thickBot="1" x14ac:dyDescent="0.3">
      <c r="A54" s="3" t="s">
        <v>33</v>
      </c>
      <c r="B54" s="117" t="s">
        <v>166</v>
      </c>
      <c r="C54" s="91" t="s">
        <v>8</v>
      </c>
      <c r="D54" s="92" t="s">
        <v>9</v>
      </c>
      <c r="E54" s="92" t="s">
        <v>10</v>
      </c>
      <c r="F54" s="92" t="s">
        <v>137</v>
      </c>
      <c r="G54" s="92" t="s">
        <v>11</v>
      </c>
      <c r="H54" s="92" t="s">
        <v>138</v>
      </c>
      <c r="I54" s="92" t="s">
        <v>139</v>
      </c>
      <c r="J54" s="92" t="s">
        <v>12</v>
      </c>
      <c r="K54" s="92" t="s">
        <v>13</v>
      </c>
      <c r="L54" s="93" t="s">
        <v>105</v>
      </c>
      <c r="M54" s="93"/>
      <c r="N54" s="93"/>
      <c r="O54" s="151"/>
      <c r="P54" s="147"/>
      <c r="Q54" s="148"/>
    </row>
    <row r="55" spans="1:17" x14ac:dyDescent="0.25">
      <c r="A55" t="s">
        <v>34</v>
      </c>
      <c r="B55" s="115">
        <v>15</v>
      </c>
      <c r="C55" s="15"/>
      <c r="D55" s="15">
        <f>TRUNC(150*Q55*(1-L7)*(1-N55))</f>
        <v>0</v>
      </c>
      <c r="E55" s="15"/>
      <c r="F55" s="15"/>
      <c r="G55" s="15"/>
      <c r="H55" s="15"/>
      <c r="I55" s="15"/>
      <c r="J55" s="15">
        <f>TRUNC(60*Q55*(1-L7)*(1-N55))</f>
        <v>0</v>
      </c>
      <c r="K55" s="15"/>
      <c r="L55" s="16"/>
      <c r="M55" s="127" t="s">
        <v>173</v>
      </c>
      <c r="N55" s="124">
        <v>0</v>
      </c>
      <c r="O55" s="149">
        <f>IF(E$6="Elsweyr",60000*Q55*(1-L$7)*(1-N55),30000*Q55*(1-L$7)*(1-N55))</f>
        <v>0</v>
      </c>
      <c r="P55" s="145">
        <f t="shared" si="7"/>
        <v>0</v>
      </c>
      <c r="Q55" s="146">
        <f t="shared" si="5"/>
        <v>0</v>
      </c>
    </row>
    <row r="56" spans="1:17" x14ac:dyDescent="0.25">
      <c r="A56" t="s">
        <v>35</v>
      </c>
      <c r="B56" s="116">
        <v>15</v>
      </c>
      <c r="C56" s="17"/>
      <c r="D56" s="17"/>
      <c r="E56" s="17"/>
      <c r="F56" s="17">
        <f>TRUNC(70*Q56*(1-L7)*(1-N56))</f>
        <v>0</v>
      </c>
      <c r="G56" s="17"/>
      <c r="H56" s="17">
        <f>TRUNC(100*Q56*(1-L7)*(1-N56))</f>
        <v>0</v>
      </c>
      <c r="I56" s="17"/>
      <c r="J56" s="17"/>
      <c r="K56" s="17"/>
      <c r="L56" s="18"/>
      <c r="M56" s="127" t="s">
        <v>173</v>
      </c>
      <c r="N56" s="124">
        <v>0</v>
      </c>
      <c r="O56" s="150">
        <f t="shared" ref="O56:O61" si="10">30000*Q56*(1-L$7)*(1-N56)</f>
        <v>0</v>
      </c>
      <c r="P56" s="145">
        <f t="shared" si="7"/>
        <v>0</v>
      </c>
      <c r="Q56" s="146">
        <f t="shared" si="5"/>
        <v>0</v>
      </c>
    </row>
    <row r="57" spans="1:17" x14ac:dyDescent="0.25">
      <c r="A57" t="s">
        <v>36</v>
      </c>
      <c r="B57" s="116">
        <v>15</v>
      </c>
      <c r="C57" s="17"/>
      <c r="D57" s="17"/>
      <c r="E57" s="17"/>
      <c r="F57" s="17"/>
      <c r="G57" s="17"/>
      <c r="H57" s="17"/>
      <c r="I57" s="17"/>
      <c r="J57" s="17">
        <f>TRUNC(170*Q57*(1-L7)*(1-N57))</f>
        <v>0</v>
      </c>
      <c r="K57" s="17"/>
      <c r="L57" s="18"/>
      <c r="M57" s="127" t="s">
        <v>173</v>
      </c>
      <c r="N57" s="124">
        <v>0</v>
      </c>
      <c r="O57" s="150">
        <f t="shared" si="10"/>
        <v>0</v>
      </c>
      <c r="P57" s="145">
        <f t="shared" si="7"/>
        <v>0</v>
      </c>
      <c r="Q57" s="146">
        <f t="shared" si="5"/>
        <v>0</v>
      </c>
    </row>
    <row r="58" spans="1:17" x14ac:dyDescent="0.25">
      <c r="A58" t="s">
        <v>37</v>
      </c>
      <c r="B58" s="116">
        <v>15</v>
      </c>
      <c r="C58" s="17"/>
      <c r="D58" s="17"/>
      <c r="E58" s="17"/>
      <c r="F58" s="17"/>
      <c r="G58" s="17"/>
      <c r="H58" s="17">
        <f>TRUNC(170*Q58*(1-L7)*(1-N58))</f>
        <v>0</v>
      </c>
      <c r="I58" s="17"/>
      <c r="J58" s="17"/>
      <c r="K58" s="17"/>
      <c r="L58" s="18"/>
      <c r="M58" s="127" t="s">
        <v>173</v>
      </c>
      <c r="N58" s="124">
        <v>0</v>
      </c>
      <c r="O58" s="150">
        <f t="shared" si="10"/>
        <v>0</v>
      </c>
      <c r="P58" s="145">
        <f t="shared" si="7"/>
        <v>0</v>
      </c>
      <c r="Q58" s="146">
        <f t="shared" si="5"/>
        <v>0</v>
      </c>
    </row>
    <row r="59" spans="1:17" x14ac:dyDescent="0.25">
      <c r="A59" t="s">
        <v>38</v>
      </c>
      <c r="B59" s="116">
        <v>15</v>
      </c>
      <c r="C59" s="17"/>
      <c r="D59" s="17"/>
      <c r="E59" s="17"/>
      <c r="F59" s="17">
        <f>TRUNC(130*Q59*(1-L7)*(1-N59))</f>
        <v>0</v>
      </c>
      <c r="G59" s="17"/>
      <c r="H59" s="17"/>
      <c r="I59" s="17"/>
      <c r="J59" s="17">
        <f>TRUNC(40*Q59*(1-L7)*(1-N59))</f>
        <v>0</v>
      </c>
      <c r="K59" s="17"/>
      <c r="L59" s="18"/>
      <c r="M59" s="127" t="s">
        <v>173</v>
      </c>
      <c r="N59" s="124">
        <v>0</v>
      </c>
      <c r="O59" s="150">
        <f t="shared" si="10"/>
        <v>0</v>
      </c>
      <c r="P59" s="145">
        <f t="shared" si="7"/>
        <v>0</v>
      </c>
      <c r="Q59" s="146">
        <f t="shared" si="5"/>
        <v>0</v>
      </c>
    </row>
    <row r="60" spans="1:17" x14ac:dyDescent="0.25">
      <c r="A60" t="s">
        <v>39</v>
      </c>
      <c r="B60" s="116">
        <v>15</v>
      </c>
      <c r="C60" s="17"/>
      <c r="D60" s="17"/>
      <c r="E60" s="17"/>
      <c r="F60" s="17"/>
      <c r="G60" s="17"/>
      <c r="H60" s="17"/>
      <c r="I60" s="17"/>
      <c r="J60" s="17">
        <f>TRUNC(60*Q60*(1-L7)*(1-N60))</f>
        <v>0</v>
      </c>
      <c r="K60" s="17"/>
      <c r="L60" s="18">
        <f>TRUNC(110*Q60*(1-L7)*(1-N60))</f>
        <v>0</v>
      </c>
      <c r="M60" s="127" t="s">
        <v>173</v>
      </c>
      <c r="N60" s="124">
        <v>0</v>
      </c>
      <c r="O60" s="150">
        <f t="shared" si="10"/>
        <v>0</v>
      </c>
      <c r="P60" s="145">
        <f t="shared" si="7"/>
        <v>0</v>
      </c>
      <c r="Q60" s="146">
        <f t="shared" si="5"/>
        <v>0</v>
      </c>
    </row>
    <row r="61" spans="1:17" ht="15.75" thickBot="1" x14ac:dyDescent="0.3">
      <c r="A61" t="s">
        <v>40</v>
      </c>
      <c r="B61" s="116">
        <v>15</v>
      </c>
      <c r="C61" s="17">
        <f>TRUNC(30*Q61*(1-L7)*(1-N61))</f>
        <v>0</v>
      </c>
      <c r="D61" s="17"/>
      <c r="E61" s="17">
        <f>TRUNC(60*Q61*(1-L7)*(1-N61))</f>
        <v>0</v>
      </c>
      <c r="F61" s="17"/>
      <c r="G61" s="17"/>
      <c r="H61" s="17"/>
      <c r="I61" s="17"/>
      <c r="J61" s="17">
        <f>TRUNC(80*Q61*(1-L7)*(1-N61))</f>
        <v>0</v>
      </c>
      <c r="K61" s="17"/>
      <c r="L61" s="18"/>
      <c r="M61" s="127" t="s">
        <v>173</v>
      </c>
      <c r="N61" s="124">
        <v>0</v>
      </c>
      <c r="O61" s="150">
        <f t="shared" si="10"/>
        <v>0</v>
      </c>
      <c r="P61" s="145">
        <f t="shared" si="7"/>
        <v>0</v>
      </c>
      <c r="Q61" s="146">
        <f t="shared" si="5"/>
        <v>0</v>
      </c>
    </row>
    <row r="62" spans="1:17" ht="15.75" thickBot="1" x14ac:dyDescent="0.3">
      <c r="A62" s="3" t="s">
        <v>41</v>
      </c>
      <c r="B62" s="117" t="s">
        <v>166</v>
      </c>
      <c r="C62" s="91" t="s">
        <v>8</v>
      </c>
      <c r="D62" s="92" t="s">
        <v>9</v>
      </c>
      <c r="E62" s="92" t="s">
        <v>10</v>
      </c>
      <c r="F62" s="92" t="s">
        <v>137</v>
      </c>
      <c r="G62" s="92" t="s">
        <v>11</v>
      </c>
      <c r="H62" s="92" t="s">
        <v>138</v>
      </c>
      <c r="I62" s="92" t="s">
        <v>139</v>
      </c>
      <c r="J62" s="92" t="s">
        <v>12</v>
      </c>
      <c r="K62" s="92" t="s">
        <v>13</v>
      </c>
      <c r="L62" s="93" t="s">
        <v>105</v>
      </c>
      <c r="M62" s="93"/>
      <c r="N62" s="93"/>
      <c r="O62" s="151"/>
      <c r="P62" s="147"/>
      <c r="Q62" s="148"/>
    </row>
    <row r="63" spans="1:17" x14ac:dyDescent="0.25">
      <c r="A63" t="s">
        <v>42</v>
      </c>
      <c r="B63" s="115">
        <v>15</v>
      </c>
      <c r="C63" s="15"/>
      <c r="D63" s="15">
        <f>TRUNC(60*Q63*(1-L7)*(1-N63))</f>
        <v>0</v>
      </c>
      <c r="E63" s="15"/>
      <c r="F63" s="15"/>
      <c r="G63" s="15"/>
      <c r="H63" s="15"/>
      <c r="I63" s="15"/>
      <c r="J63" s="15"/>
      <c r="K63" s="15"/>
      <c r="L63" s="16">
        <f>TRUNC(150*Q63*(1-L7)*(1-N63))</f>
        <v>0</v>
      </c>
      <c r="M63" s="127" t="s">
        <v>173</v>
      </c>
      <c r="N63" s="124">
        <v>0</v>
      </c>
      <c r="O63" s="149">
        <f>IF(E$6="Hauteroche",60000*Q63*(1-L$7)*(1-N63),30000*Q63*(1-L$7)*(1-N63))</f>
        <v>0</v>
      </c>
      <c r="P63" s="145">
        <f t="shared" si="7"/>
        <v>0</v>
      </c>
      <c r="Q63" s="146">
        <f t="shared" si="5"/>
        <v>0</v>
      </c>
    </row>
    <row r="64" spans="1:17" x14ac:dyDescent="0.25">
      <c r="A64" t="s">
        <v>43</v>
      </c>
      <c r="B64" s="116">
        <v>15</v>
      </c>
      <c r="C64" s="17"/>
      <c r="D64" s="17">
        <f>TRUNC(70*Q64*(1-L7)*(1-N64))</f>
        <v>0</v>
      </c>
      <c r="E64" s="17"/>
      <c r="F64" s="17"/>
      <c r="G64" s="17"/>
      <c r="H64" s="17"/>
      <c r="I64" s="17"/>
      <c r="J64" s="17"/>
      <c r="K64" s="17"/>
      <c r="L64" s="18">
        <f>TRUNC(100*Q64*(1-L7)*(1-N64))</f>
        <v>0</v>
      </c>
      <c r="M64" s="127" t="s">
        <v>173</v>
      </c>
      <c r="N64" s="124">
        <v>0</v>
      </c>
      <c r="O64" s="150">
        <f t="shared" ref="O64:O70" si="11">30000*Q64*(1-L$7)*(1-N64)</f>
        <v>0</v>
      </c>
      <c r="P64" s="145">
        <f t="shared" si="7"/>
        <v>0</v>
      </c>
      <c r="Q64" s="146">
        <f t="shared" si="5"/>
        <v>0</v>
      </c>
    </row>
    <row r="65" spans="1:17" x14ac:dyDescent="0.25">
      <c r="A65" t="s">
        <v>44</v>
      </c>
      <c r="B65" s="116">
        <v>15</v>
      </c>
      <c r="C65" s="17"/>
      <c r="D65" s="17">
        <f>TRUNC(80*Q65*(1-L7)*(1-N65))</f>
        <v>0</v>
      </c>
      <c r="E65" s="17">
        <f>TRUNC(20*Q65*(1-L7)*(1-N65))</f>
        <v>0</v>
      </c>
      <c r="F65" s="17"/>
      <c r="G65" s="17"/>
      <c r="H65" s="17"/>
      <c r="I65" s="17"/>
      <c r="J65" s="17"/>
      <c r="K65" s="17">
        <f>TRUNC(70*Q65*(1-L7)*(1-N65))</f>
        <v>0</v>
      </c>
      <c r="L65" s="18"/>
      <c r="M65" s="127" t="s">
        <v>173</v>
      </c>
      <c r="N65" s="124">
        <v>0</v>
      </c>
      <c r="O65" s="150">
        <f t="shared" si="11"/>
        <v>0</v>
      </c>
      <c r="P65" s="145">
        <f t="shared" si="7"/>
        <v>0</v>
      </c>
      <c r="Q65" s="146">
        <f t="shared" si="5"/>
        <v>0</v>
      </c>
    </row>
    <row r="66" spans="1:17" x14ac:dyDescent="0.25">
      <c r="A66" t="s">
        <v>45</v>
      </c>
      <c r="B66" s="116">
        <v>15</v>
      </c>
      <c r="C66" s="17">
        <f>TRUNC(100*Q66*(1-L7)*(1-N66))</f>
        <v>0</v>
      </c>
      <c r="D66" s="17">
        <f>TRUNC(70*Q66*(1-L7)*(1-N66))</f>
        <v>0</v>
      </c>
      <c r="E66" s="17"/>
      <c r="F66" s="17"/>
      <c r="G66" s="17"/>
      <c r="H66" s="17"/>
      <c r="I66" s="17"/>
      <c r="J66" s="17"/>
      <c r="K66" s="17"/>
      <c r="L66" s="18"/>
      <c r="M66" s="127" t="s">
        <v>173</v>
      </c>
      <c r="N66" s="124">
        <v>0</v>
      </c>
      <c r="O66" s="150">
        <f t="shared" si="11"/>
        <v>0</v>
      </c>
      <c r="P66" s="145">
        <f t="shared" si="7"/>
        <v>0</v>
      </c>
      <c r="Q66" s="146">
        <f t="shared" si="5"/>
        <v>0</v>
      </c>
    </row>
    <row r="67" spans="1:17" x14ac:dyDescent="0.25">
      <c r="A67" t="s">
        <v>46</v>
      </c>
      <c r="B67" s="116">
        <v>15</v>
      </c>
      <c r="C67" s="17">
        <f>TRUNC(120*Q67*(1-L7)*(1-N67))</f>
        <v>0</v>
      </c>
      <c r="D67" s="17">
        <f>TRUNC(50*Q67*(1-L7)*(1-N67))</f>
        <v>0</v>
      </c>
      <c r="E67" s="17"/>
      <c r="F67" s="17"/>
      <c r="G67" s="17"/>
      <c r="H67" s="17"/>
      <c r="I67" s="17"/>
      <c r="J67" s="17"/>
      <c r="K67" s="17"/>
      <c r="L67" s="18"/>
      <c r="M67" s="127" t="s">
        <v>173</v>
      </c>
      <c r="N67" s="124">
        <v>0</v>
      </c>
      <c r="O67" s="150">
        <f t="shared" si="11"/>
        <v>0</v>
      </c>
      <c r="P67" s="145">
        <f t="shared" si="7"/>
        <v>0</v>
      </c>
      <c r="Q67" s="146">
        <f t="shared" si="5"/>
        <v>0</v>
      </c>
    </row>
    <row r="68" spans="1:17" x14ac:dyDescent="0.25">
      <c r="A68" t="s">
        <v>47</v>
      </c>
      <c r="B68" s="116">
        <v>15</v>
      </c>
      <c r="C68" s="17"/>
      <c r="D68" s="17"/>
      <c r="E68" s="17"/>
      <c r="F68" s="17"/>
      <c r="G68" s="17">
        <f>TRUNC(100*Q68*(1-L7)*(1-N68))</f>
        <v>0</v>
      </c>
      <c r="H68" s="17"/>
      <c r="I68" s="17"/>
      <c r="J68" s="17"/>
      <c r="K68" s="17"/>
      <c r="L68" s="18">
        <f>TRUNC(70*Q68*(1-L7)*(1-N68))</f>
        <v>0</v>
      </c>
      <c r="M68" s="127" t="s">
        <v>173</v>
      </c>
      <c r="N68" s="124">
        <v>0</v>
      </c>
      <c r="O68" s="150">
        <f t="shared" si="11"/>
        <v>0</v>
      </c>
      <c r="P68" s="145">
        <f t="shared" si="7"/>
        <v>0</v>
      </c>
      <c r="Q68" s="146">
        <f t="shared" si="5"/>
        <v>0</v>
      </c>
    </row>
    <row r="69" spans="1:17" x14ac:dyDescent="0.25">
      <c r="A69" t="s">
        <v>48</v>
      </c>
      <c r="B69" s="116">
        <v>15</v>
      </c>
      <c r="C69" s="17"/>
      <c r="D69" s="17">
        <f>TRUNC(90*Q69*(1-L7)*(1-N69))</f>
        <v>0</v>
      </c>
      <c r="E69" s="17"/>
      <c r="F69" s="17"/>
      <c r="G69" s="17"/>
      <c r="H69" s="17">
        <f>TRUNC(80*Q69*(1-L7)*(1-N69))</f>
        <v>0</v>
      </c>
      <c r="I69" s="17"/>
      <c r="J69" s="17"/>
      <c r="K69" s="17"/>
      <c r="L69" s="18"/>
      <c r="M69" s="127" t="s">
        <v>173</v>
      </c>
      <c r="N69" s="124">
        <v>0</v>
      </c>
      <c r="O69" s="150">
        <f t="shared" si="11"/>
        <v>0</v>
      </c>
      <c r="P69" s="145">
        <f t="shared" si="7"/>
        <v>0</v>
      </c>
      <c r="Q69" s="146">
        <f t="shared" si="5"/>
        <v>0</v>
      </c>
    </row>
    <row r="70" spans="1:17" ht="15.75" thickBot="1" x14ac:dyDescent="0.3">
      <c r="A70" t="s">
        <v>104</v>
      </c>
      <c r="B70" s="116">
        <v>15</v>
      </c>
      <c r="C70" s="17"/>
      <c r="D70" s="17"/>
      <c r="E70" s="17"/>
      <c r="F70" s="17"/>
      <c r="G70" s="17">
        <f>TRUNC(70*Q70*(1-L7)*(1-N70))</f>
        <v>0</v>
      </c>
      <c r="H70" s="17">
        <f>TRUNC(100*Q70*(1-L7)*(1-N70))</f>
        <v>0</v>
      </c>
      <c r="I70" s="17"/>
      <c r="J70" s="17"/>
      <c r="K70" s="17"/>
      <c r="L70" s="18"/>
      <c r="M70" s="127" t="s">
        <v>173</v>
      </c>
      <c r="N70" s="124">
        <v>0</v>
      </c>
      <c r="O70" s="150">
        <f t="shared" si="11"/>
        <v>0</v>
      </c>
      <c r="P70" s="145">
        <f t="shared" si="7"/>
        <v>0</v>
      </c>
      <c r="Q70" s="146">
        <f t="shared" si="5"/>
        <v>0</v>
      </c>
    </row>
    <row r="71" spans="1:17" ht="15.75" thickBot="1" x14ac:dyDescent="0.3">
      <c r="A71" s="3" t="s">
        <v>49</v>
      </c>
      <c r="B71" s="117" t="s">
        <v>166</v>
      </c>
      <c r="C71" s="91" t="s">
        <v>8</v>
      </c>
      <c r="D71" s="92" t="s">
        <v>9</v>
      </c>
      <c r="E71" s="92" t="s">
        <v>10</v>
      </c>
      <c r="F71" s="92" t="s">
        <v>137</v>
      </c>
      <c r="G71" s="92" t="s">
        <v>11</v>
      </c>
      <c r="H71" s="92" t="s">
        <v>138</v>
      </c>
      <c r="I71" s="92" t="s">
        <v>139</v>
      </c>
      <c r="J71" s="92" t="s">
        <v>12</v>
      </c>
      <c r="K71" s="92" t="s">
        <v>13</v>
      </c>
      <c r="L71" s="93" t="s">
        <v>105</v>
      </c>
      <c r="M71" s="93"/>
      <c r="N71" s="93"/>
      <c r="O71" s="151"/>
      <c r="P71" s="147"/>
      <c r="Q71" s="148"/>
    </row>
    <row r="72" spans="1:17" x14ac:dyDescent="0.25">
      <c r="A72" t="s">
        <v>50</v>
      </c>
      <c r="B72" s="115">
        <v>15</v>
      </c>
      <c r="C72" s="15"/>
      <c r="D72" s="15"/>
      <c r="E72" s="15"/>
      <c r="F72" s="15">
        <f>TRUNC(110*Q72*(1-L7)*(1-N72))</f>
        <v>0</v>
      </c>
      <c r="G72" s="15"/>
      <c r="H72" s="15"/>
      <c r="I72" s="15">
        <f>TRUNC(100*Q72*(1-L7)*(1-N72))</f>
        <v>0</v>
      </c>
      <c r="J72" s="15"/>
      <c r="K72" s="15"/>
      <c r="L72" s="16"/>
      <c r="M72" s="127" t="s">
        <v>173</v>
      </c>
      <c r="N72" s="124">
        <v>0</v>
      </c>
      <c r="O72" s="149">
        <f>IF(E$6="Lenclume",60000*Q72*(1-L$7)*(1-N72),30000*Q72*(1-L$7)*(1-N72))</f>
        <v>0</v>
      </c>
      <c r="P72" s="145">
        <f t="shared" si="7"/>
        <v>0</v>
      </c>
      <c r="Q72" s="146">
        <f t="shared" si="5"/>
        <v>0</v>
      </c>
    </row>
    <row r="73" spans="1:17" x14ac:dyDescent="0.25">
      <c r="A73" t="s">
        <v>51</v>
      </c>
      <c r="B73" s="116">
        <v>15</v>
      </c>
      <c r="C73" s="17"/>
      <c r="D73" s="17"/>
      <c r="E73" s="17"/>
      <c r="F73" s="17"/>
      <c r="G73" s="17">
        <f>TRUNC(60*Q73*(1-L7)*(1-N73))</f>
        <v>0</v>
      </c>
      <c r="H73" s="17"/>
      <c r="I73" s="17"/>
      <c r="J73" s="17">
        <f>TRUNC(110*Q73*(1-L7)*(1-N73))</f>
        <v>0</v>
      </c>
      <c r="K73" s="17"/>
      <c r="L73" s="18"/>
      <c r="M73" s="127" t="s">
        <v>173</v>
      </c>
      <c r="N73" s="124">
        <v>0</v>
      </c>
      <c r="O73" s="150">
        <f t="shared" ref="O73:O79" si="12">30000*Q73*(1-L$7)*(1-N73)</f>
        <v>0</v>
      </c>
      <c r="P73" s="145">
        <f t="shared" si="7"/>
        <v>0</v>
      </c>
      <c r="Q73" s="146">
        <f t="shared" si="5"/>
        <v>0</v>
      </c>
    </row>
    <row r="74" spans="1:17" x14ac:dyDescent="0.25">
      <c r="A74" t="s">
        <v>52</v>
      </c>
      <c r="B74" s="116">
        <v>15</v>
      </c>
      <c r="C74" s="17"/>
      <c r="D74" s="17"/>
      <c r="E74" s="17"/>
      <c r="F74" s="17">
        <f>TRUNC(120*Q74*(1-L7)*(1-N74))</f>
        <v>0</v>
      </c>
      <c r="G74" s="17"/>
      <c r="H74" s="17"/>
      <c r="I74" s="17"/>
      <c r="J74" s="17">
        <f>TRUNC(50*Q74*(1-L7)*(1-N74))</f>
        <v>0</v>
      </c>
      <c r="K74" s="17"/>
      <c r="L74" s="18"/>
      <c r="M74" s="127" t="s">
        <v>173</v>
      </c>
      <c r="N74" s="124">
        <v>0</v>
      </c>
      <c r="O74" s="150">
        <f t="shared" si="12"/>
        <v>0</v>
      </c>
      <c r="P74" s="145">
        <f t="shared" si="7"/>
        <v>0</v>
      </c>
      <c r="Q74" s="146">
        <f t="shared" si="5"/>
        <v>0</v>
      </c>
    </row>
    <row r="75" spans="1:17" x14ac:dyDescent="0.25">
      <c r="A75" t="s">
        <v>53</v>
      </c>
      <c r="B75" s="116">
        <v>15</v>
      </c>
      <c r="C75" s="17"/>
      <c r="D75" s="17"/>
      <c r="E75" s="17"/>
      <c r="F75" s="17">
        <f>TRUNC(170*Q75*(1-L7)*(1-N75))</f>
        <v>0</v>
      </c>
      <c r="G75" s="17"/>
      <c r="H75" s="17"/>
      <c r="I75" s="17"/>
      <c r="J75" s="17"/>
      <c r="K75" s="17"/>
      <c r="L75" s="18"/>
      <c r="M75" s="127" t="s">
        <v>173</v>
      </c>
      <c r="N75" s="124">
        <v>0</v>
      </c>
      <c r="O75" s="150">
        <f t="shared" si="12"/>
        <v>0</v>
      </c>
      <c r="P75" s="145">
        <f t="shared" si="7"/>
        <v>0</v>
      </c>
      <c r="Q75" s="146">
        <f t="shared" si="5"/>
        <v>0</v>
      </c>
    </row>
    <row r="76" spans="1:17" x14ac:dyDescent="0.25">
      <c r="A76" t="s">
        <v>54</v>
      </c>
      <c r="B76" s="116">
        <v>15</v>
      </c>
      <c r="C76" s="17"/>
      <c r="D76" s="17"/>
      <c r="E76" s="17"/>
      <c r="F76" s="17"/>
      <c r="G76" s="17"/>
      <c r="H76" s="17"/>
      <c r="I76" s="17"/>
      <c r="J76" s="17">
        <f>TRUNC(170*Q76*(1-L7)*(1-N76))</f>
        <v>0</v>
      </c>
      <c r="K76" s="17"/>
      <c r="L76" s="18"/>
      <c r="M76" s="127" t="s">
        <v>173</v>
      </c>
      <c r="N76" s="124">
        <v>0</v>
      </c>
      <c r="O76" s="150">
        <f t="shared" si="12"/>
        <v>0</v>
      </c>
      <c r="P76" s="145">
        <f t="shared" si="7"/>
        <v>0</v>
      </c>
      <c r="Q76" s="146">
        <f t="shared" si="5"/>
        <v>0</v>
      </c>
    </row>
    <row r="77" spans="1:17" x14ac:dyDescent="0.25">
      <c r="A77" t="s">
        <v>55</v>
      </c>
      <c r="B77" s="116">
        <v>15</v>
      </c>
      <c r="C77" s="17"/>
      <c r="D77" s="17"/>
      <c r="E77" s="17">
        <f>TRUNC(120*Q77*(1-L7)*(1-N77))</f>
        <v>0</v>
      </c>
      <c r="F77" s="17"/>
      <c r="G77" s="17"/>
      <c r="H77" s="17"/>
      <c r="I77" s="17"/>
      <c r="J77" s="17"/>
      <c r="K77" s="17">
        <f>TRUNC(50*Q77*(1-L7)*(1-N77))</f>
        <v>0</v>
      </c>
      <c r="L77" s="18"/>
      <c r="M77" s="127" t="s">
        <v>173</v>
      </c>
      <c r="N77" s="124">
        <v>0</v>
      </c>
      <c r="O77" s="150">
        <f t="shared" si="12"/>
        <v>0</v>
      </c>
      <c r="P77" s="145">
        <f t="shared" si="7"/>
        <v>0</v>
      </c>
      <c r="Q77" s="146">
        <f t="shared" si="5"/>
        <v>0</v>
      </c>
    </row>
    <row r="78" spans="1:17" x14ac:dyDescent="0.25">
      <c r="A78" t="s">
        <v>56</v>
      </c>
      <c r="B78" s="116">
        <v>15</v>
      </c>
      <c r="C78" s="17"/>
      <c r="D78" s="17"/>
      <c r="E78" s="17">
        <f>TRUNC(120*Q78*(1-L7)*(1-N78))</f>
        <v>0</v>
      </c>
      <c r="F78" s="17"/>
      <c r="G78" s="17"/>
      <c r="H78" s="17"/>
      <c r="I78" s="17">
        <f>TRUNC(50*Q78*(1-L7)*(1-N78))</f>
        <v>0</v>
      </c>
      <c r="J78" s="17"/>
      <c r="K78" s="17"/>
      <c r="L78" s="18"/>
      <c r="M78" s="127" t="s">
        <v>173</v>
      </c>
      <c r="N78" s="124">
        <v>0</v>
      </c>
      <c r="O78" s="150">
        <f t="shared" si="12"/>
        <v>0</v>
      </c>
      <c r="P78" s="145">
        <f t="shared" si="7"/>
        <v>0</v>
      </c>
      <c r="Q78" s="146">
        <f t="shared" si="5"/>
        <v>0</v>
      </c>
    </row>
    <row r="79" spans="1:17" ht="15.75" thickBot="1" x14ac:dyDescent="0.3">
      <c r="A79" t="s">
        <v>57</v>
      </c>
      <c r="B79" s="116">
        <v>15</v>
      </c>
      <c r="C79" s="17"/>
      <c r="D79" s="17"/>
      <c r="E79" s="17"/>
      <c r="F79" s="17">
        <f>TRUNC(30*Q79*(1-L7)*(1-N79))</f>
        <v>0</v>
      </c>
      <c r="G79" s="17">
        <f>TRUNC(40*Q79*(1-L7)*(1-N79))</f>
        <v>0</v>
      </c>
      <c r="H79" s="17"/>
      <c r="I79" s="17"/>
      <c r="J79" s="17"/>
      <c r="K79" s="17">
        <f>TRUNC(100*Q79*(1-L7)*(1-N79))</f>
        <v>0</v>
      </c>
      <c r="L79" s="18"/>
      <c r="M79" s="127" t="s">
        <v>173</v>
      </c>
      <c r="N79" s="124">
        <v>0</v>
      </c>
      <c r="O79" s="150">
        <f t="shared" si="12"/>
        <v>0</v>
      </c>
      <c r="P79" s="145">
        <f t="shared" si="7"/>
        <v>0</v>
      </c>
      <c r="Q79" s="146">
        <f t="shared" si="5"/>
        <v>0</v>
      </c>
    </row>
    <row r="80" spans="1:17" ht="15.75" thickBot="1" x14ac:dyDescent="0.3">
      <c r="A80" s="3" t="s">
        <v>59</v>
      </c>
      <c r="B80" s="117" t="s">
        <v>166</v>
      </c>
      <c r="C80" s="91" t="s">
        <v>8</v>
      </c>
      <c r="D80" s="92" t="s">
        <v>9</v>
      </c>
      <c r="E80" s="92" t="s">
        <v>10</v>
      </c>
      <c r="F80" s="92" t="s">
        <v>137</v>
      </c>
      <c r="G80" s="92" t="s">
        <v>11</v>
      </c>
      <c r="H80" s="92" t="s">
        <v>138</v>
      </c>
      <c r="I80" s="92" t="s">
        <v>139</v>
      </c>
      <c r="J80" s="92" t="s">
        <v>12</v>
      </c>
      <c r="K80" s="92" t="s">
        <v>13</v>
      </c>
      <c r="L80" s="93" t="s">
        <v>105</v>
      </c>
      <c r="M80" s="93"/>
      <c r="N80" s="93"/>
      <c r="O80" s="151"/>
      <c r="P80" s="147"/>
      <c r="Q80" s="148"/>
    </row>
    <row r="81" spans="1:17" x14ac:dyDescent="0.25">
      <c r="A81" t="s">
        <v>60</v>
      </c>
      <c r="B81" s="115">
        <v>15</v>
      </c>
      <c r="C81" s="15"/>
      <c r="D81" s="15"/>
      <c r="E81" s="15"/>
      <c r="F81" s="15">
        <f>TRUNC(40*Q81*(1-L7)*(1-N81))</f>
        <v>0</v>
      </c>
      <c r="G81" s="15"/>
      <c r="H81" s="15">
        <f>TRUNC(120*Q81*(1-L7)*(1-N81))</f>
        <v>0</v>
      </c>
      <c r="I81" s="15">
        <f>TRUNC(TRUNC(20*Q81*(1-L7)*(1-N81)))</f>
        <v>0</v>
      </c>
      <c r="J81" s="15"/>
      <c r="K81" s="15"/>
      <c r="L81" s="16">
        <f>TRUNC(20*Q81*(1-L7)*(1-N81))</f>
        <v>0</v>
      </c>
      <c r="M81" s="127" t="s">
        <v>173</v>
      </c>
      <c r="N81" s="124">
        <v>0</v>
      </c>
      <c r="O81" s="149">
        <f>IF(E$6="Marais Noir",60000*Q81*(1-L$7)*(1-N81),30000*Q81*(1-L$7)*(1-N81))</f>
        <v>0</v>
      </c>
      <c r="P81" s="145">
        <f t="shared" si="7"/>
        <v>0</v>
      </c>
      <c r="Q81" s="146">
        <f t="shared" si="5"/>
        <v>0</v>
      </c>
    </row>
    <row r="82" spans="1:17" x14ac:dyDescent="0.25">
      <c r="A82" t="s">
        <v>61</v>
      </c>
      <c r="B82" s="116">
        <v>15</v>
      </c>
      <c r="C82" s="17">
        <f>TRUNC(30*Q82*(1-L7)*(1-N82))</f>
        <v>0</v>
      </c>
      <c r="D82" s="17"/>
      <c r="E82" s="17"/>
      <c r="F82" s="17"/>
      <c r="G82" s="17"/>
      <c r="H82" s="17"/>
      <c r="I82" s="17"/>
      <c r="J82" s="17">
        <f>TRUNC(140*Q82*(1-L7)*(1-N82))</f>
        <v>0</v>
      </c>
      <c r="K82" s="17"/>
      <c r="L82" s="18"/>
      <c r="M82" s="127" t="s">
        <v>173</v>
      </c>
      <c r="N82" s="124">
        <v>0</v>
      </c>
      <c r="O82" s="150">
        <f t="shared" ref="O82:O88" si="13">30000*Q82*(1-L$7)*(1-N82)</f>
        <v>0</v>
      </c>
      <c r="P82" s="145">
        <f t="shared" si="7"/>
        <v>0</v>
      </c>
      <c r="Q82" s="146">
        <f t="shared" si="5"/>
        <v>0</v>
      </c>
    </row>
    <row r="83" spans="1:17" x14ac:dyDescent="0.25">
      <c r="A83" t="s">
        <v>62</v>
      </c>
      <c r="B83" s="116">
        <v>15</v>
      </c>
      <c r="C83" s="17"/>
      <c r="D83" s="17"/>
      <c r="E83" s="17"/>
      <c r="F83" s="17">
        <f>TRUNC(170*Q83*(1-L7)*(1-N83))</f>
        <v>0</v>
      </c>
      <c r="G83" s="17"/>
      <c r="H83" s="17"/>
      <c r="I83" s="17"/>
      <c r="J83" s="17"/>
      <c r="K83" s="17"/>
      <c r="L83" s="18"/>
      <c r="M83" s="127" t="s">
        <v>173</v>
      </c>
      <c r="N83" s="124">
        <v>0</v>
      </c>
      <c r="O83" s="150">
        <f t="shared" si="13"/>
        <v>0</v>
      </c>
      <c r="P83" s="145">
        <f t="shared" si="7"/>
        <v>0</v>
      </c>
      <c r="Q83" s="146">
        <f t="shared" si="5"/>
        <v>0</v>
      </c>
    </row>
    <row r="84" spans="1:17" x14ac:dyDescent="0.25">
      <c r="A84" t="s">
        <v>63</v>
      </c>
      <c r="B84" s="116">
        <v>15</v>
      </c>
      <c r="C84" s="17"/>
      <c r="D84" s="17">
        <f>TRUNC(50*Q84*(1-L7)*(1-N84))</f>
        <v>0</v>
      </c>
      <c r="E84" s="17"/>
      <c r="F84" s="17">
        <f>TRUNC(100*Q84*(1-L7)*(1-N84))</f>
        <v>0</v>
      </c>
      <c r="G84" s="17"/>
      <c r="H84" s="17">
        <f>TRUNC(20*Q84*(1-L7)*(1-N84))</f>
        <v>0</v>
      </c>
      <c r="I84" s="17"/>
      <c r="J84" s="17"/>
      <c r="K84" s="17"/>
      <c r="L84" s="18"/>
      <c r="M84" s="127" t="s">
        <v>173</v>
      </c>
      <c r="N84" s="124">
        <v>0</v>
      </c>
      <c r="O84" s="150">
        <f t="shared" si="13"/>
        <v>0</v>
      </c>
      <c r="P84" s="145">
        <f t="shared" si="7"/>
        <v>0</v>
      </c>
      <c r="Q84" s="146">
        <f t="shared" si="5"/>
        <v>0</v>
      </c>
    </row>
    <row r="85" spans="1:17" x14ac:dyDescent="0.25">
      <c r="A85" t="s">
        <v>64</v>
      </c>
      <c r="B85" s="116">
        <v>15</v>
      </c>
      <c r="C85" s="17"/>
      <c r="D85" s="17"/>
      <c r="E85" s="17"/>
      <c r="F85" s="17">
        <f>TRUNC(40*Q85*(1-L7)*(1-N85))</f>
        <v>0</v>
      </c>
      <c r="G85" s="17"/>
      <c r="H85" s="17"/>
      <c r="I85" s="17"/>
      <c r="J85" s="17"/>
      <c r="K85" s="17"/>
      <c r="L85" s="18">
        <f>TRUNC(130*Q85*(1-L7)*(1-N85))</f>
        <v>0</v>
      </c>
      <c r="M85" s="127" t="s">
        <v>173</v>
      </c>
      <c r="N85" s="124">
        <v>0</v>
      </c>
      <c r="O85" s="150">
        <f t="shared" si="13"/>
        <v>0</v>
      </c>
      <c r="P85" s="145">
        <f t="shared" si="7"/>
        <v>0</v>
      </c>
      <c r="Q85" s="146">
        <f t="shared" si="5"/>
        <v>0</v>
      </c>
    </row>
    <row r="86" spans="1:17" x14ac:dyDescent="0.25">
      <c r="A86" t="s">
        <v>65</v>
      </c>
      <c r="B86" s="116">
        <v>15</v>
      </c>
      <c r="C86" s="17"/>
      <c r="D86" s="17"/>
      <c r="E86" s="17"/>
      <c r="F86" s="17"/>
      <c r="G86" s="17"/>
      <c r="H86" s="17">
        <f>TRUNC(170*Q86*(1-L7)*(1-N86))</f>
        <v>0</v>
      </c>
      <c r="I86" s="17"/>
      <c r="J86" s="17"/>
      <c r="K86" s="17"/>
      <c r="L86" s="18"/>
      <c r="M86" s="127" t="s">
        <v>173</v>
      </c>
      <c r="N86" s="124">
        <v>0</v>
      </c>
      <c r="O86" s="150">
        <f t="shared" si="13"/>
        <v>0</v>
      </c>
      <c r="P86" s="145">
        <f t="shared" si="7"/>
        <v>0</v>
      </c>
      <c r="Q86" s="146">
        <f t="shared" si="5"/>
        <v>0</v>
      </c>
    </row>
    <row r="87" spans="1:17" x14ac:dyDescent="0.25">
      <c r="A87" t="s">
        <v>66</v>
      </c>
      <c r="B87" s="116">
        <v>15</v>
      </c>
      <c r="C87" s="17"/>
      <c r="D87" s="17"/>
      <c r="E87" s="17"/>
      <c r="F87" s="17"/>
      <c r="G87" s="17"/>
      <c r="H87" s="17">
        <f>TRUNC(40*Q87*(1-L7)*(1-N87))</f>
        <v>0</v>
      </c>
      <c r="I87" s="17">
        <f>TRUNC(130*Q87*(1-L7)*(1-N87))</f>
        <v>0</v>
      </c>
      <c r="J87" s="17"/>
      <c r="K87" s="17"/>
      <c r="L87" s="18"/>
      <c r="M87" s="127" t="s">
        <v>173</v>
      </c>
      <c r="N87" s="124">
        <v>0</v>
      </c>
      <c r="O87" s="150">
        <f t="shared" si="13"/>
        <v>0</v>
      </c>
      <c r="P87" s="145">
        <f t="shared" si="7"/>
        <v>0</v>
      </c>
      <c r="Q87" s="146">
        <f t="shared" si="5"/>
        <v>0</v>
      </c>
    </row>
    <row r="88" spans="1:17" ht="15.75" thickBot="1" x14ac:dyDescent="0.3">
      <c r="A88" t="s">
        <v>67</v>
      </c>
      <c r="B88" s="116">
        <v>15</v>
      </c>
      <c r="C88" s="17"/>
      <c r="D88" s="17"/>
      <c r="E88" s="17"/>
      <c r="F88" s="17"/>
      <c r="G88" s="17"/>
      <c r="H88" s="17">
        <f>TRUNC(100*Q88*(1-L7)*(1-N88))</f>
        <v>0</v>
      </c>
      <c r="I88" s="17">
        <f>TRUNC(70*Q88*(1-L7)*(1-N88))</f>
        <v>0</v>
      </c>
      <c r="J88" s="17"/>
      <c r="K88" s="17"/>
      <c r="L88" s="18"/>
      <c r="M88" s="127" t="s">
        <v>173</v>
      </c>
      <c r="N88" s="124">
        <v>0</v>
      </c>
      <c r="O88" s="150">
        <f t="shared" si="13"/>
        <v>0</v>
      </c>
      <c r="P88" s="145">
        <f t="shared" si="7"/>
        <v>0</v>
      </c>
      <c r="Q88" s="146">
        <f t="shared" si="5"/>
        <v>0</v>
      </c>
    </row>
    <row r="89" spans="1:17" ht="15.75" thickBot="1" x14ac:dyDescent="0.3">
      <c r="A89" s="3" t="s">
        <v>68</v>
      </c>
      <c r="B89" s="117" t="s">
        <v>166</v>
      </c>
      <c r="C89" s="91" t="s">
        <v>8</v>
      </c>
      <c r="D89" s="92" t="s">
        <v>9</v>
      </c>
      <c r="E89" s="92" t="s">
        <v>10</v>
      </c>
      <c r="F89" s="92" t="s">
        <v>137</v>
      </c>
      <c r="G89" s="92" t="s">
        <v>11</v>
      </c>
      <c r="H89" s="92" t="s">
        <v>138</v>
      </c>
      <c r="I89" s="92" t="s">
        <v>139</v>
      </c>
      <c r="J89" s="92" t="s">
        <v>12</v>
      </c>
      <c r="K89" s="92" t="s">
        <v>13</v>
      </c>
      <c r="L89" s="93" t="s">
        <v>105</v>
      </c>
      <c r="M89" s="93"/>
      <c r="N89" s="93"/>
      <c r="O89" s="151"/>
      <c r="P89" s="147"/>
      <c r="Q89" s="148"/>
    </row>
    <row r="90" spans="1:17" x14ac:dyDescent="0.25">
      <c r="A90" t="s">
        <v>69</v>
      </c>
      <c r="B90" s="115">
        <v>15</v>
      </c>
      <c r="C90" s="15"/>
      <c r="D90" s="15"/>
      <c r="E90" s="15">
        <f>TRUNC(20*Q90*(1-L7)*(1-N90))</f>
        <v>0</v>
      </c>
      <c r="F90" s="15"/>
      <c r="G90" s="15">
        <f>TRUNC(20*Q90*(1-L7)*(1-N90))</f>
        <v>0</v>
      </c>
      <c r="H90" s="15">
        <f>TRUNC(90*Q90*(1-L7)*(1-N90))</f>
        <v>0</v>
      </c>
      <c r="I90" s="15"/>
      <c r="J90" s="15">
        <f>TRUNC(20*Q90*(1-L7)*(1-N90))</f>
        <v>0</v>
      </c>
      <c r="K90" s="15"/>
      <c r="L90" s="16">
        <f>TRUNC(60*Q90*(1-L7)*(1-N90))</f>
        <v>0</v>
      </c>
      <c r="M90" s="127" t="s">
        <v>173</v>
      </c>
      <c r="N90" s="124">
        <v>0</v>
      </c>
      <c r="O90" s="149">
        <f>IF(E$6="Morrowind",60000*Q90*(1-L$7)*(1-N90),30000*Q90*(1-L$7)*(1-N90))</f>
        <v>0</v>
      </c>
      <c r="P90" s="145">
        <f t="shared" si="7"/>
        <v>0</v>
      </c>
      <c r="Q90" s="146">
        <f t="shared" si="5"/>
        <v>0</v>
      </c>
    </row>
    <row r="91" spans="1:17" x14ac:dyDescent="0.25">
      <c r="A91" t="s">
        <v>70</v>
      </c>
      <c r="B91" s="116">
        <v>15</v>
      </c>
      <c r="C91" s="17"/>
      <c r="D91" s="17"/>
      <c r="E91" s="17"/>
      <c r="F91" s="17"/>
      <c r="G91" s="17">
        <f>TRUNC(170*Q91*(1-L7)*(1-N91))</f>
        <v>0</v>
      </c>
      <c r="H91" s="17"/>
      <c r="I91" s="17"/>
      <c r="J91" s="17"/>
      <c r="K91" s="17"/>
      <c r="L91" s="18"/>
      <c r="M91" s="127" t="s">
        <v>173</v>
      </c>
      <c r="N91" s="124">
        <v>0</v>
      </c>
      <c r="O91" s="150">
        <f t="shared" ref="O91:O97" si="14">30000*Q91*(1-L$7)*(1-N91)</f>
        <v>0</v>
      </c>
      <c r="P91" s="145">
        <f t="shared" si="7"/>
        <v>0</v>
      </c>
      <c r="Q91" s="146">
        <f t="shared" si="5"/>
        <v>0</v>
      </c>
    </row>
    <row r="92" spans="1:17" x14ac:dyDescent="0.25">
      <c r="A92" t="s">
        <v>71</v>
      </c>
      <c r="B92" s="116">
        <v>15</v>
      </c>
      <c r="C92" s="17">
        <f>TRUNC(70*Q92*(1-L7)*(1-N92))</f>
        <v>0</v>
      </c>
      <c r="D92" s="17"/>
      <c r="E92" s="17"/>
      <c r="F92" s="17"/>
      <c r="G92" s="17"/>
      <c r="H92" s="17"/>
      <c r="I92" s="17"/>
      <c r="J92" s="17"/>
      <c r="K92" s="17"/>
      <c r="L92" s="18">
        <f>TRUNC(100*Q92*(1-L7)*(1-N92))</f>
        <v>0</v>
      </c>
      <c r="M92" s="127" t="s">
        <v>173</v>
      </c>
      <c r="N92" s="124">
        <v>0</v>
      </c>
      <c r="O92" s="150">
        <f t="shared" si="14"/>
        <v>0</v>
      </c>
      <c r="P92" s="145">
        <f t="shared" si="7"/>
        <v>0</v>
      </c>
      <c r="Q92" s="146">
        <f t="shared" ref="Q92:Q111" si="15">IF(M92="Possédée",1,IF(M92="Assiégée",0.5,0))</f>
        <v>0</v>
      </c>
    </row>
    <row r="93" spans="1:17" x14ac:dyDescent="0.25">
      <c r="A93" t="s">
        <v>72</v>
      </c>
      <c r="B93" s="116">
        <v>15</v>
      </c>
      <c r="C93" s="17"/>
      <c r="D93" s="17"/>
      <c r="E93" s="17">
        <f>TRUNC(60*Q93*(1-L7)*(1-N93))</f>
        <v>0</v>
      </c>
      <c r="F93" s="17"/>
      <c r="G93" s="17"/>
      <c r="H93" s="17"/>
      <c r="I93" s="17"/>
      <c r="J93" s="17"/>
      <c r="K93" s="17">
        <f>TRUNC(110*Q93*(1-L7)*(1-N93))</f>
        <v>0</v>
      </c>
      <c r="L93" s="18"/>
      <c r="M93" s="127" t="s">
        <v>173</v>
      </c>
      <c r="N93" s="124">
        <v>0</v>
      </c>
      <c r="O93" s="150">
        <f t="shared" si="14"/>
        <v>0</v>
      </c>
      <c r="P93" s="145">
        <f t="shared" ref="P93:P118" si="16">IF(OR(M93="Possédée",M93="Assiégée"),B93,0)</f>
        <v>0</v>
      </c>
      <c r="Q93" s="146">
        <f t="shared" si="15"/>
        <v>0</v>
      </c>
    </row>
    <row r="94" spans="1:17" x14ac:dyDescent="0.25">
      <c r="A94" t="s">
        <v>73</v>
      </c>
      <c r="B94" s="116">
        <v>15</v>
      </c>
      <c r="C94" s="17"/>
      <c r="D94" s="17"/>
      <c r="E94" s="17"/>
      <c r="F94" s="17"/>
      <c r="G94" s="17">
        <f>TRUNC(100*Q94*(1-L7)*(1-N94))</f>
        <v>0</v>
      </c>
      <c r="H94" s="17">
        <f>TRUNC(50*Q94*(1-L7)*(1-N94))</f>
        <v>0</v>
      </c>
      <c r="I94" s="17"/>
      <c r="J94" s="17"/>
      <c r="K94" s="17"/>
      <c r="L94" s="18">
        <f>TRUNC(20*Q94*(1-L7)*(1-N94))</f>
        <v>0</v>
      </c>
      <c r="M94" s="127" t="s">
        <v>173</v>
      </c>
      <c r="N94" s="124">
        <v>0</v>
      </c>
      <c r="O94" s="150">
        <f t="shared" si="14"/>
        <v>0</v>
      </c>
      <c r="P94" s="145">
        <f t="shared" si="16"/>
        <v>0</v>
      </c>
      <c r="Q94" s="146">
        <f t="shared" si="15"/>
        <v>0</v>
      </c>
    </row>
    <row r="95" spans="1:17" x14ac:dyDescent="0.25">
      <c r="A95" t="s">
        <v>74</v>
      </c>
      <c r="B95" s="116">
        <v>15</v>
      </c>
      <c r="C95" s="17"/>
      <c r="D95" s="17"/>
      <c r="E95" s="17">
        <f>TRUNC(100*Q95*(1-L7)*(1-N95))</f>
        <v>0</v>
      </c>
      <c r="F95" s="17"/>
      <c r="G95" s="17">
        <f>TRUNC(70*Q95*(1-L7)*(1-N95))</f>
        <v>0</v>
      </c>
      <c r="H95" s="17"/>
      <c r="I95" s="17"/>
      <c r="J95" s="17"/>
      <c r="K95" s="17"/>
      <c r="L95" s="18"/>
      <c r="M95" s="127" t="s">
        <v>173</v>
      </c>
      <c r="N95" s="124">
        <v>0</v>
      </c>
      <c r="O95" s="150">
        <f t="shared" si="14"/>
        <v>0</v>
      </c>
      <c r="P95" s="145">
        <f t="shared" si="16"/>
        <v>0</v>
      </c>
      <c r="Q95" s="146">
        <f t="shared" si="15"/>
        <v>0</v>
      </c>
    </row>
    <row r="96" spans="1:17" x14ac:dyDescent="0.25">
      <c r="A96" t="s">
        <v>75</v>
      </c>
      <c r="B96" s="116">
        <v>15</v>
      </c>
      <c r="C96" s="17"/>
      <c r="D96" s="17"/>
      <c r="E96" s="17">
        <f>TRUNC(120*Q96*(1-L7)*(1-N96))</f>
        <v>0</v>
      </c>
      <c r="F96" s="17"/>
      <c r="G96" s="17"/>
      <c r="H96" s="17"/>
      <c r="I96" s="17"/>
      <c r="J96" s="17"/>
      <c r="K96" s="17">
        <f>TRUNC(50*Q96*(1-L7)*(1-N96))</f>
        <v>0</v>
      </c>
      <c r="L96" s="18"/>
      <c r="M96" s="127" t="s">
        <v>173</v>
      </c>
      <c r="N96" s="124">
        <v>0</v>
      </c>
      <c r="O96" s="150">
        <f t="shared" si="14"/>
        <v>0</v>
      </c>
      <c r="P96" s="145">
        <f t="shared" si="16"/>
        <v>0</v>
      </c>
      <c r="Q96" s="146">
        <f t="shared" si="15"/>
        <v>0</v>
      </c>
    </row>
    <row r="97" spans="1:17" ht="15.75" thickBot="1" x14ac:dyDescent="0.3">
      <c r="A97" t="s">
        <v>76</v>
      </c>
      <c r="B97" s="116">
        <v>15</v>
      </c>
      <c r="C97" s="17"/>
      <c r="D97" s="17"/>
      <c r="E97" s="17">
        <f>TRUNC(170*Q97*(1-L7)*(1-N97))</f>
        <v>0</v>
      </c>
      <c r="F97" s="17"/>
      <c r="G97" s="17"/>
      <c r="H97" s="17"/>
      <c r="I97" s="17"/>
      <c r="J97" s="17"/>
      <c r="K97" s="17"/>
      <c r="L97" s="18"/>
      <c r="M97" s="127" t="s">
        <v>173</v>
      </c>
      <c r="N97" s="124">
        <v>0</v>
      </c>
      <c r="O97" s="150">
        <f t="shared" si="14"/>
        <v>0</v>
      </c>
      <c r="P97" s="145">
        <f t="shared" si="16"/>
        <v>0</v>
      </c>
      <c r="Q97" s="146">
        <f t="shared" si="15"/>
        <v>0</v>
      </c>
    </row>
    <row r="98" spans="1:17" ht="15.75" thickBot="1" x14ac:dyDescent="0.3">
      <c r="A98" s="3" t="s">
        <v>77</v>
      </c>
      <c r="B98" s="117" t="s">
        <v>166</v>
      </c>
      <c r="C98" s="91" t="s">
        <v>8</v>
      </c>
      <c r="D98" s="92" t="s">
        <v>9</v>
      </c>
      <c r="E98" s="92" t="s">
        <v>10</v>
      </c>
      <c r="F98" s="92" t="s">
        <v>137</v>
      </c>
      <c r="G98" s="92" t="s">
        <v>11</v>
      </c>
      <c r="H98" s="92" t="s">
        <v>138</v>
      </c>
      <c r="I98" s="92" t="s">
        <v>139</v>
      </c>
      <c r="J98" s="92" t="s">
        <v>12</v>
      </c>
      <c r="K98" s="92" t="s">
        <v>13</v>
      </c>
      <c r="L98" s="93" t="s">
        <v>105</v>
      </c>
      <c r="M98" s="93"/>
      <c r="N98" s="93"/>
      <c r="O98" s="151"/>
      <c r="P98" s="147"/>
      <c r="Q98" s="148"/>
    </row>
    <row r="99" spans="1:17" x14ac:dyDescent="0.25">
      <c r="A99" t="s">
        <v>78</v>
      </c>
      <c r="B99" s="115">
        <v>15</v>
      </c>
      <c r="C99" s="15"/>
      <c r="D99" s="15"/>
      <c r="E99" s="15"/>
      <c r="F99" s="15"/>
      <c r="G99" s="15">
        <f>TRUNC(30*Q99*(1-L7)*(1-N99))</f>
        <v>0</v>
      </c>
      <c r="H99" s="15">
        <f>TRUNC(40*Q99*(1-L7)*(1-N99))</f>
        <v>0</v>
      </c>
      <c r="I99" s="15">
        <f>TRUNC(140*Q99*(1-L7)*(1-N99))</f>
        <v>0</v>
      </c>
      <c r="J99" s="15"/>
      <c r="K99" s="15"/>
      <c r="L99" s="16"/>
      <c r="M99" s="127" t="s">
        <v>173</v>
      </c>
      <c r="N99" s="124">
        <v>0</v>
      </c>
      <c r="O99" s="149">
        <f>IF(E$6="Val-Boisé",60000*Q99*(1-L$7)*(1-N99),30000*Q99*(1-L$7)*(1-N99))</f>
        <v>0</v>
      </c>
      <c r="P99" s="145">
        <f t="shared" si="16"/>
        <v>0</v>
      </c>
      <c r="Q99" s="146">
        <f t="shared" si="15"/>
        <v>0</v>
      </c>
    </row>
    <row r="100" spans="1:17" x14ac:dyDescent="0.25">
      <c r="A100" t="s">
        <v>79</v>
      </c>
      <c r="B100" s="116">
        <v>15</v>
      </c>
      <c r="C100" s="17"/>
      <c r="D100" s="17"/>
      <c r="E100" s="17"/>
      <c r="F100" s="17"/>
      <c r="G100" s="17"/>
      <c r="H100" s="17"/>
      <c r="I100" s="17">
        <f>TRUNC(50*Q100*(1-L7)*(1-N100))</f>
        <v>0</v>
      </c>
      <c r="J100" s="17">
        <f>TRUNC(120*Q100*(1-L7)*(1-N100))</f>
        <v>0</v>
      </c>
      <c r="K100" s="17"/>
      <c r="L100" s="18"/>
      <c r="M100" s="127" t="s">
        <v>173</v>
      </c>
      <c r="N100" s="124">
        <v>0</v>
      </c>
      <c r="O100" s="150">
        <f t="shared" ref="O100:O106" si="17">30000*Q100*(1-L$7)*(1-N100)</f>
        <v>0</v>
      </c>
      <c r="P100" s="145">
        <f t="shared" si="16"/>
        <v>0</v>
      </c>
      <c r="Q100" s="146">
        <f t="shared" si="15"/>
        <v>0</v>
      </c>
    </row>
    <row r="101" spans="1:17" x14ac:dyDescent="0.25">
      <c r="A101" t="s">
        <v>80</v>
      </c>
      <c r="B101" s="116">
        <v>15</v>
      </c>
      <c r="C101" s="17"/>
      <c r="D101" s="17"/>
      <c r="E101" s="17"/>
      <c r="F101" s="17">
        <f>TRUNC(70*Q101*(1-L7)*(1-N101))</f>
        <v>0</v>
      </c>
      <c r="G101" s="17">
        <f>TRUNC(40*Q101*(1-L7)*(1-N101))</f>
        <v>0</v>
      </c>
      <c r="H101" s="17"/>
      <c r="I101" s="17"/>
      <c r="J101" s="17"/>
      <c r="K101" s="17">
        <f>TRUNC(20*Q101*(1-L7)*(1-N101))</f>
        <v>0</v>
      </c>
      <c r="L101" s="18">
        <f>TRUNC(40*Q101*(1-L7)*(1-N101))</f>
        <v>0</v>
      </c>
      <c r="M101" s="127" t="s">
        <v>173</v>
      </c>
      <c r="N101" s="124">
        <v>0</v>
      </c>
      <c r="O101" s="150">
        <f t="shared" si="17"/>
        <v>0</v>
      </c>
      <c r="P101" s="145">
        <f t="shared" si="16"/>
        <v>0</v>
      </c>
      <c r="Q101" s="146">
        <f t="shared" si="15"/>
        <v>0</v>
      </c>
    </row>
    <row r="102" spans="1:17" x14ac:dyDescent="0.25">
      <c r="A102" t="s">
        <v>81</v>
      </c>
      <c r="B102" s="116">
        <v>15</v>
      </c>
      <c r="C102" s="17"/>
      <c r="D102" s="17"/>
      <c r="E102" s="17"/>
      <c r="F102" s="17"/>
      <c r="G102" s="17"/>
      <c r="H102" s="17"/>
      <c r="I102" s="17">
        <f>TRUNC(170*Q102*(1-L7)*(1-N102))</f>
        <v>0</v>
      </c>
      <c r="J102" s="17"/>
      <c r="K102" s="17"/>
      <c r="L102" s="18"/>
      <c r="M102" s="127" t="s">
        <v>173</v>
      </c>
      <c r="N102" s="124">
        <v>0</v>
      </c>
      <c r="O102" s="150">
        <f t="shared" si="17"/>
        <v>0</v>
      </c>
      <c r="P102" s="145">
        <f t="shared" si="16"/>
        <v>0</v>
      </c>
      <c r="Q102" s="146">
        <f t="shared" si="15"/>
        <v>0</v>
      </c>
    </row>
    <row r="103" spans="1:17" x14ac:dyDescent="0.25">
      <c r="A103" t="s">
        <v>82</v>
      </c>
      <c r="B103" s="116">
        <v>15</v>
      </c>
      <c r="C103" s="17">
        <f>TRUNC(100*Q103*(1-L7)*(1-N103))</f>
        <v>0</v>
      </c>
      <c r="D103" s="17"/>
      <c r="E103" s="17"/>
      <c r="F103" s="17"/>
      <c r="G103" s="17"/>
      <c r="H103" s="17"/>
      <c r="I103" s="17"/>
      <c r="J103" s="17">
        <f>TRUNC(70*Q103*(1-L7)*(1-N103))</f>
        <v>0</v>
      </c>
      <c r="K103" s="17"/>
      <c r="L103" s="18"/>
      <c r="M103" s="127" t="s">
        <v>173</v>
      </c>
      <c r="N103" s="124">
        <v>0</v>
      </c>
      <c r="O103" s="150">
        <f t="shared" si="17"/>
        <v>0</v>
      </c>
      <c r="P103" s="145">
        <f t="shared" si="16"/>
        <v>0</v>
      </c>
      <c r="Q103" s="146">
        <f t="shared" si="15"/>
        <v>0</v>
      </c>
    </row>
    <row r="104" spans="1:17" x14ac:dyDescent="0.25">
      <c r="A104" t="s">
        <v>83</v>
      </c>
      <c r="B104" s="116">
        <v>15</v>
      </c>
      <c r="C104" s="17">
        <f>TRUNC(170*Q104*(1-L7)*(1-N104))</f>
        <v>0</v>
      </c>
      <c r="D104" s="17"/>
      <c r="E104" s="17"/>
      <c r="F104" s="17"/>
      <c r="G104" s="17"/>
      <c r="H104" s="17"/>
      <c r="I104" s="17"/>
      <c r="J104" s="17"/>
      <c r="K104" s="17"/>
      <c r="L104" s="18"/>
      <c r="M104" s="127" t="s">
        <v>173</v>
      </c>
      <c r="N104" s="124">
        <v>0</v>
      </c>
      <c r="O104" s="150">
        <f t="shared" si="17"/>
        <v>0</v>
      </c>
      <c r="P104" s="145">
        <f t="shared" si="16"/>
        <v>0</v>
      </c>
      <c r="Q104" s="146">
        <f t="shared" si="15"/>
        <v>0</v>
      </c>
    </row>
    <row r="105" spans="1:17" x14ac:dyDescent="0.25">
      <c r="A105" t="s">
        <v>84</v>
      </c>
      <c r="B105" s="116">
        <v>15</v>
      </c>
      <c r="C105" s="17"/>
      <c r="D105" s="17"/>
      <c r="E105" s="17"/>
      <c r="F105" s="17"/>
      <c r="G105" s="17"/>
      <c r="H105" s="17">
        <f>TRUNC(170*Q105*(1-L7)*(1-N105))</f>
        <v>0</v>
      </c>
      <c r="I105" s="17"/>
      <c r="J105" s="17"/>
      <c r="K105" s="17"/>
      <c r="L105" s="18"/>
      <c r="M105" s="127" t="s">
        <v>173</v>
      </c>
      <c r="N105" s="124">
        <v>0</v>
      </c>
      <c r="O105" s="150">
        <f t="shared" si="17"/>
        <v>0</v>
      </c>
      <c r="P105" s="145">
        <f t="shared" si="16"/>
        <v>0</v>
      </c>
      <c r="Q105" s="146">
        <f t="shared" si="15"/>
        <v>0</v>
      </c>
    </row>
    <row r="106" spans="1:17" ht="15.75" thickBot="1" x14ac:dyDescent="0.3">
      <c r="A106" t="s">
        <v>85</v>
      </c>
      <c r="B106" s="116">
        <v>15</v>
      </c>
      <c r="C106" s="17">
        <f>TRUNC(60*Q106*(1-L7)*(1-N106))</f>
        <v>0</v>
      </c>
      <c r="D106" s="17"/>
      <c r="E106" s="17"/>
      <c r="F106" s="17"/>
      <c r="G106" s="17"/>
      <c r="H106" s="17"/>
      <c r="I106" s="17">
        <f>TRUNC(110*Q106*(1-L7)*(1-N106))</f>
        <v>0</v>
      </c>
      <c r="J106" s="17"/>
      <c r="K106" s="17"/>
      <c r="L106" s="18"/>
      <c r="M106" s="127" t="s">
        <v>173</v>
      </c>
      <c r="N106" s="124">
        <v>0</v>
      </c>
      <c r="O106" s="150">
        <f t="shared" si="17"/>
        <v>0</v>
      </c>
      <c r="P106" s="145">
        <f t="shared" si="16"/>
        <v>0</v>
      </c>
      <c r="Q106" s="146">
        <f t="shared" si="15"/>
        <v>0</v>
      </c>
    </row>
    <row r="107" spans="1:17" ht="15.75" thickBot="1" x14ac:dyDescent="0.3">
      <c r="A107" s="3" t="s">
        <v>86</v>
      </c>
      <c r="B107" s="117" t="s">
        <v>166</v>
      </c>
      <c r="C107" s="91" t="s">
        <v>8</v>
      </c>
      <c r="D107" s="92" t="s">
        <v>9</v>
      </c>
      <c r="E107" s="92" t="s">
        <v>10</v>
      </c>
      <c r="F107" s="92" t="s">
        <v>137</v>
      </c>
      <c r="G107" s="92" t="s">
        <v>11</v>
      </c>
      <c r="H107" s="92" t="s">
        <v>138</v>
      </c>
      <c r="I107" s="92" t="s">
        <v>139</v>
      </c>
      <c r="J107" s="92" t="s">
        <v>12</v>
      </c>
      <c r="K107" s="92" t="s">
        <v>13</v>
      </c>
      <c r="L107" s="93" t="s">
        <v>105</v>
      </c>
      <c r="M107" s="93"/>
      <c r="N107" s="93"/>
      <c r="O107" s="151"/>
      <c r="P107" s="147"/>
      <c r="Q107" s="148"/>
    </row>
    <row r="108" spans="1:17" x14ac:dyDescent="0.25">
      <c r="A108" t="s">
        <v>89</v>
      </c>
      <c r="B108" s="115">
        <v>15</v>
      </c>
      <c r="C108" s="15"/>
      <c r="D108" s="15"/>
      <c r="E108" s="15">
        <f>TRUNC(90*Q108*(1-L7)*(1-N108))</f>
        <v>0</v>
      </c>
      <c r="F108" s="15"/>
      <c r="G108" s="15"/>
      <c r="H108" s="15"/>
      <c r="I108" s="15"/>
      <c r="J108" s="15"/>
      <c r="K108" s="15">
        <f>TRUNC(120*Q108*(1-L7)*(1-N108))</f>
        <v>0</v>
      </c>
      <c r="L108" s="16"/>
      <c r="M108" s="127" t="s">
        <v>173</v>
      </c>
      <c r="N108" s="124">
        <v>0</v>
      </c>
      <c r="O108" s="149">
        <f>IF(E$6="Solstheim",60000*Q108*(1-L$7)*(1-N108),30000*Q108*(1-L$7)*(1-N108))</f>
        <v>0</v>
      </c>
      <c r="P108" s="145">
        <f t="shared" si="16"/>
        <v>0</v>
      </c>
      <c r="Q108" s="146">
        <f t="shared" si="15"/>
        <v>0</v>
      </c>
    </row>
    <row r="109" spans="1:17" x14ac:dyDescent="0.25">
      <c r="A109" t="s">
        <v>88</v>
      </c>
      <c r="B109" s="116">
        <v>15</v>
      </c>
      <c r="C109" s="17"/>
      <c r="D109" s="17"/>
      <c r="E109" s="17">
        <f>TRUNC(80*Q109*(1-L7)*(1-N109))</f>
        <v>0</v>
      </c>
      <c r="F109" s="17"/>
      <c r="G109" s="17">
        <f>TRUNC(20*Q109*(1-L7)*(1-N109))</f>
        <v>0</v>
      </c>
      <c r="H109" s="17"/>
      <c r="I109" s="17"/>
      <c r="J109" s="17"/>
      <c r="K109" s="17">
        <f>TRUNC(70*Q109*(1-L7)*(1-N109))</f>
        <v>0</v>
      </c>
      <c r="L109" s="18"/>
      <c r="M109" s="127" t="s">
        <v>173</v>
      </c>
      <c r="N109" s="124">
        <v>0</v>
      </c>
      <c r="O109" s="150">
        <f t="shared" ref="O109:O110" si="18">30000*Q109*(1-L$7)*(1-N109)</f>
        <v>0</v>
      </c>
      <c r="P109" s="145">
        <f t="shared" si="16"/>
        <v>0</v>
      </c>
      <c r="Q109" s="146">
        <f t="shared" si="15"/>
        <v>0</v>
      </c>
    </row>
    <row r="110" spans="1:17" ht="15.75" thickBot="1" x14ac:dyDescent="0.3">
      <c r="A110" s="39" t="s">
        <v>87</v>
      </c>
      <c r="B110" s="116">
        <v>15</v>
      </c>
      <c r="C110" s="19"/>
      <c r="D110" s="17">
        <f>TRUNC(90*Q110*(1-L7)*(1-N110))</f>
        <v>0</v>
      </c>
      <c r="E110" s="17"/>
      <c r="F110" s="17"/>
      <c r="G110" s="17">
        <f>TRUNC(30*Q110*(1-L7)*(1-N110))</f>
        <v>0</v>
      </c>
      <c r="H110" s="17"/>
      <c r="I110" s="17"/>
      <c r="J110" s="17"/>
      <c r="K110" s="17">
        <f>TRUNC(50*Q110*(1-L7)*(1-N110))</f>
        <v>0</v>
      </c>
      <c r="L110" s="18"/>
      <c r="M110" s="127" t="s">
        <v>173</v>
      </c>
      <c r="N110" s="124">
        <v>0</v>
      </c>
      <c r="O110" s="150">
        <f t="shared" si="18"/>
        <v>0</v>
      </c>
      <c r="P110" s="145">
        <f t="shared" si="16"/>
        <v>0</v>
      </c>
      <c r="Q110" s="146">
        <f t="shared" si="15"/>
        <v>0</v>
      </c>
    </row>
    <row r="111" spans="1:17" ht="15.75" thickBot="1" x14ac:dyDescent="0.3">
      <c r="A111" s="3" t="s">
        <v>140</v>
      </c>
      <c r="B111" s="119">
        <v>15</v>
      </c>
      <c r="C111" s="113"/>
      <c r="D111" s="89"/>
      <c r="E111" s="89">
        <f>TRUNC(70*Q111*(1-L7)*(1-N111))</f>
        <v>0</v>
      </c>
      <c r="F111" s="89"/>
      <c r="G111" s="89">
        <f>TRUNC(40*Q111*(1-L7)*(1-N111))</f>
        <v>0</v>
      </c>
      <c r="H111" s="89"/>
      <c r="I111" s="89"/>
      <c r="J111" s="89"/>
      <c r="K111" s="89">
        <f>TRUNC(100*Q111*(1-L7)*(1-N111))</f>
        <v>0</v>
      </c>
      <c r="L111" s="90"/>
      <c r="M111" s="127" t="s">
        <v>173</v>
      </c>
      <c r="N111" s="124">
        <v>0</v>
      </c>
      <c r="O111" s="150">
        <f>IF(E$6="Orsinium",60000*Q111*(1-L$7)*(1-N111),30000*Q111*(1-L$7)*(1-N111))</f>
        <v>0</v>
      </c>
      <c r="P111" s="145">
        <f t="shared" si="16"/>
        <v>0</v>
      </c>
      <c r="Q111" s="146">
        <f t="shared" si="15"/>
        <v>0</v>
      </c>
    </row>
    <row r="112" spans="1:17" ht="15.75" thickBot="1" x14ac:dyDescent="0.3">
      <c r="A112" s="3" t="s">
        <v>215</v>
      </c>
      <c r="B112" s="117" t="s">
        <v>166</v>
      </c>
      <c r="C112" s="91" t="s">
        <v>8</v>
      </c>
      <c r="D112" s="92" t="s">
        <v>9</v>
      </c>
      <c r="E112" s="92" t="s">
        <v>10</v>
      </c>
      <c r="F112" s="92" t="s">
        <v>137</v>
      </c>
      <c r="G112" s="92" t="s">
        <v>11</v>
      </c>
      <c r="H112" s="92" t="s">
        <v>138</v>
      </c>
      <c r="I112" s="92" t="s">
        <v>139</v>
      </c>
      <c r="J112" s="92" t="s">
        <v>12</v>
      </c>
      <c r="K112" s="92" t="s">
        <v>13</v>
      </c>
      <c r="L112" s="93" t="s">
        <v>105</v>
      </c>
      <c r="M112" s="93"/>
      <c r="N112" s="93"/>
      <c r="O112" s="151"/>
      <c r="P112" s="147"/>
      <c r="Q112" s="148"/>
    </row>
    <row r="113" spans="1:17" x14ac:dyDescent="0.25">
      <c r="A113" t="s">
        <v>142</v>
      </c>
      <c r="B113" s="115">
        <v>0</v>
      </c>
      <c r="C113" s="15"/>
      <c r="D113" s="15"/>
      <c r="E113" s="15">
        <f>TRUNC(10*Q113*(1-N113))</f>
        <v>0</v>
      </c>
      <c r="F113" s="15"/>
      <c r="G113" s="15"/>
      <c r="H113" s="15">
        <f>TRUNC(10*Q113*(1-N113))</f>
        <v>0</v>
      </c>
      <c r="I113" s="15"/>
      <c r="J113" s="15">
        <f>TRUNC(10*Q113*(1-N113))</f>
        <v>0</v>
      </c>
      <c r="K113" s="15"/>
      <c r="L113" s="16"/>
      <c r="M113" s="127" t="s">
        <v>173</v>
      </c>
      <c r="N113" s="124">
        <v>0</v>
      </c>
      <c r="O113" s="149">
        <f>IF(E$6="Strik",40000*Q113*(1-L$7)*(1-N113),0)</f>
        <v>0</v>
      </c>
      <c r="P113" s="145">
        <f t="shared" si="16"/>
        <v>0</v>
      </c>
      <c r="Q113" s="146">
        <f>IF(E$6=A113,IF(M113="Possédée",1,IF(M113="Assiégée",0.5,0)),0)</f>
        <v>0</v>
      </c>
    </row>
    <row r="114" spans="1:17" x14ac:dyDescent="0.25">
      <c r="A114" t="s">
        <v>143</v>
      </c>
      <c r="B114" s="116">
        <v>0</v>
      </c>
      <c r="C114" s="17"/>
      <c r="D114" s="17"/>
      <c r="E114" s="17">
        <f>TRUNC(10*Q114*(1-N114))</f>
        <v>0</v>
      </c>
      <c r="F114" s="17"/>
      <c r="G114" s="17"/>
      <c r="H114" s="17">
        <f>TRUNC(10*Q114*(1-N114))</f>
        <v>0</v>
      </c>
      <c r="I114" s="17"/>
      <c r="J114" s="17">
        <f>TRUNC(10*Q114*(1-N114))</f>
        <v>0</v>
      </c>
      <c r="K114" s="17"/>
      <c r="L114" s="18"/>
      <c r="M114" s="127" t="s">
        <v>173</v>
      </c>
      <c r="N114" s="124">
        <v>0</v>
      </c>
      <c r="O114" s="150">
        <f>IF(E$6="Stros M'Kai",40000*Q114*(1-L$7)*(1-N114),0)</f>
        <v>0</v>
      </c>
      <c r="P114" s="145">
        <f t="shared" si="16"/>
        <v>0</v>
      </c>
      <c r="Q114" s="146">
        <f t="shared" ref="Q114:Q118" si="19">IF(E$6=A114,IF(M114="Possédée",1,IF(M114="Assiégée",0.5,0)),0)</f>
        <v>0</v>
      </c>
    </row>
    <row r="115" spans="1:17" x14ac:dyDescent="0.25">
      <c r="A115" t="s">
        <v>144</v>
      </c>
      <c r="B115" s="116">
        <v>0</v>
      </c>
      <c r="C115" s="17"/>
      <c r="D115" s="17"/>
      <c r="E115" s="17">
        <f t="shared" ref="E115:E118" si="20">TRUNC(10*Q115*(1-N115))</f>
        <v>0</v>
      </c>
      <c r="F115" s="17"/>
      <c r="G115" s="17"/>
      <c r="H115" s="17">
        <f t="shared" ref="H115:H118" si="21">TRUNC(10*Q115*(1-N115))</f>
        <v>0</v>
      </c>
      <c r="I115" s="17"/>
      <c r="J115" s="17">
        <f t="shared" ref="J115:J118" si="22">TRUNC(10*Q115*(1-N115))</f>
        <v>0</v>
      </c>
      <c r="K115" s="17"/>
      <c r="L115" s="18"/>
      <c r="M115" s="127" t="s">
        <v>173</v>
      </c>
      <c r="N115" s="124">
        <v>0</v>
      </c>
      <c r="O115" s="150">
        <f>IF(E$6="Vivec",40000*Q115*(1-L$7)*(1-N115),0)</f>
        <v>0</v>
      </c>
      <c r="P115" s="145">
        <f t="shared" si="16"/>
        <v>0</v>
      </c>
      <c r="Q115" s="146">
        <f t="shared" si="19"/>
        <v>0</v>
      </c>
    </row>
    <row r="116" spans="1:17" x14ac:dyDescent="0.25">
      <c r="A116" t="s">
        <v>145</v>
      </c>
      <c r="B116" s="116">
        <v>0</v>
      </c>
      <c r="C116" s="17"/>
      <c r="D116" s="17"/>
      <c r="E116" s="17">
        <f t="shared" si="20"/>
        <v>0</v>
      </c>
      <c r="F116" s="17"/>
      <c r="G116" s="17"/>
      <c r="H116" s="17">
        <f t="shared" si="21"/>
        <v>0</v>
      </c>
      <c r="I116" s="17"/>
      <c r="J116" s="17">
        <f t="shared" si="22"/>
        <v>0</v>
      </c>
      <c r="K116" s="17"/>
      <c r="L116" s="18"/>
      <c r="M116" s="127" t="s">
        <v>173</v>
      </c>
      <c r="N116" s="124">
        <v>0</v>
      </c>
      <c r="O116" s="150">
        <f>IF(E$6="Sadrith Mora",40000*Q116*(1-L$7)*(1-N116),0)</f>
        <v>0</v>
      </c>
      <c r="P116" s="145">
        <f t="shared" si="16"/>
        <v>0</v>
      </c>
      <c r="Q116" s="146">
        <f t="shared" si="19"/>
        <v>0</v>
      </c>
    </row>
    <row r="117" spans="1:17" x14ac:dyDescent="0.25">
      <c r="A117" t="s">
        <v>146</v>
      </c>
      <c r="B117" s="116">
        <v>0</v>
      </c>
      <c r="C117" s="17"/>
      <c r="D117" s="17"/>
      <c r="E117" s="17">
        <f t="shared" si="20"/>
        <v>0</v>
      </c>
      <c r="F117" s="17"/>
      <c r="G117" s="17"/>
      <c r="H117" s="17">
        <f t="shared" si="21"/>
        <v>0</v>
      </c>
      <c r="I117" s="17"/>
      <c r="J117" s="17">
        <f t="shared" si="22"/>
        <v>0</v>
      </c>
      <c r="K117" s="17"/>
      <c r="L117" s="18"/>
      <c r="M117" s="127" t="s">
        <v>173</v>
      </c>
      <c r="N117" s="124">
        <v>0</v>
      </c>
      <c r="O117" s="150">
        <f>IF(E$6="Dagon Fel",40000*Q117*(1-L$7)*(1-N117),0)</f>
        <v>0</v>
      </c>
      <c r="P117" s="145">
        <f t="shared" si="16"/>
        <v>0</v>
      </c>
      <c r="Q117" s="146">
        <f t="shared" si="19"/>
        <v>0</v>
      </c>
    </row>
    <row r="118" spans="1:17" ht="15.75" thickBot="1" x14ac:dyDescent="0.3">
      <c r="A118" s="40" t="s">
        <v>147</v>
      </c>
      <c r="B118" s="118">
        <v>0</v>
      </c>
      <c r="C118" s="21"/>
      <c r="D118" s="21"/>
      <c r="E118" s="17">
        <f t="shared" si="20"/>
        <v>0</v>
      </c>
      <c r="F118" s="21"/>
      <c r="G118" s="21"/>
      <c r="H118" s="17">
        <f t="shared" si="21"/>
        <v>0</v>
      </c>
      <c r="I118" s="21"/>
      <c r="J118" s="17">
        <f t="shared" si="22"/>
        <v>0</v>
      </c>
      <c r="K118" s="21"/>
      <c r="L118" s="22"/>
      <c r="M118" s="128" t="s">
        <v>173</v>
      </c>
      <c r="N118" s="125">
        <v>0</v>
      </c>
      <c r="O118" s="150">
        <f>IF(E$6="Port Telvannis",40000*Q118*(1-L$7)*(1-N118),0)</f>
        <v>0</v>
      </c>
      <c r="P118" s="145">
        <f t="shared" si="16"/>
        <v>0</v>
      </c>
      <c r="Q118" s="146">
        <f t="shared" si="19"/>
        <v>0</v>
      </c>
    </row>
    <row r="119" spans="1:17" ht="15.75" thickBot="1" x14ac:dyDescent="0.3">
      <c r="A119" s="132" t="s">
        <v>202</v>
      </c>
      <c r="B119" s="119">
        <f>SUM(P27:P118)</f>
        <v>135</v>
      </c>
      <c r="C119" s="89">
        <f>SUM(C27:C118)</f>
        <v>70</v>
      </c>
      <c r="D119" s="89">
        <f>SUM(D27:D118)</f>
        <v>380</v>
      </c>
      <c r="E119" s="89">
        <f>SUM(E27:E118)</f>
        <v>190</v>
      </c>
      <c r="F119" s="89">
        <f t="shared" ref="F119:L119" si="23">SUM(F27:F118)</f>
        <v>140</v>
      </c>
      <c r="G119" s="89">
        <f t="shared" si="23"/>
        <v>480</v>
      </c>
      <c r="H119" s="89">
        <f t="shared" si="23"/>
        <v>0</v>
      </c>
      <c r="I119" s="89">
        <f t="shared" si="23"/>
        <v>0</v>
      </c>
      <c r="J119" s="89">
        <f t="shared" si="23"/>
        <v>0</v>
      </c>
      <c r="K119" s="89">
        <f t="shared" si="23"/>
        <v>310</v>
      </c>
      <c r="L119" s="89">
        <f t="shared" si="23"/>
        <v>0</v>
      </c>
      <c r="M119" s="133"/>
      <c r="N119" s="134"/>
      <c r="O119" s="151">
        <f>SUM(O27:O118)</f>
        <v>300000</v>
      </c>
      <c r="P119" s="147"/>
      <c r="Q119" s="148"/>
    </row>
    <row r="120" spans="1:17" x14ac:dyDescent="0.25">
      <c r="A120" s="131" t="s">
        <v>216</v>
      </c>
    </row>
    <row r="122" spans="1:17" x14ac:dyDescent="0.25">
      <c r="A122" t="s">
        <v>160</v>
      </c>
    </row>
    <row r="123" spans="1:17" x14ac:dyDescent="0.25">
      <c r="A123" t="s">
        <v>22</v>
      </c>
      <c r="D123" t="s">
        <v>199</v>
      </c>
    </row>
    <row r="124" spans="1:17" x14ac:dyDescent="0.25">
      <c r="A124" t="s">
        <v>23</v>
      </c>
      <c r="B124" s="122">
        <v>0</v>
      </c>
      <c r="C124" t="s">
        <v>178</v>
      </c>
      <c r="D124" t="s">
        <v>200</v>
      </c>
      <c r="E124">
        <f>COUNTIF(M27:M111,"Possédée")+COUNTIF(M27:M111,"Assiégée")</f>
        <v>9</v>
      </c>
    </row>
    <row r="125" spans="1:17" x14ac:dyDescent="0.25">
      <c r="A125" t="s">
        <v>24</v>
      </c>
      <c r="B125" s="122">
        <v>0.05</v>
      </c>
      <c r="C125" t="s">
        <v>179</v>
      </c>
      <c r="D125" t="s">
        <v>217</v>
      </c>
      <c r="E125">
        <f>COUNTIF(M113:M118,"Possédée")+COUNTIF(M113:M118,"Assiégée")</f>
        <v>0</v>
      </c>
    </row>
    <row r="126" spans="1:17" x14ac:dyDescent="0.25">
      <c r="A126" t="s">
        <v>33</v>
      </c>
      <c r="B126" s="122">
        <v>0.1</v>
      </c>
      <c r="C126" t="s">
        <v>180</v>
      </c>
      <c r="D126" s="97" t="s">
        <v>218</v>
      </c>
      <c r="E126">
        <f>COUNTIF(M27:M118,"Possédée")+COUNTIF(M27:M118,"Assiégée")</f>
        <v>9</v>
      </c>
    </row>
    <row r="127" spans="1:17" x14ac:dyDescent="0.25">
      <c r="A127" t="s">
        <v>41</v>
      </c>
      <c r="B127" s="122">
        <v>0.15</v>
      </c>
      <c r="C127" t="s">
        <v>181</v>
      </c>
      <c r="D127" t="s">
        <v>201</v>
      </c>
      <c r="E127">
        <f>COUNTIF(M27:M118,"Assiégée")</f>
        <v>0</v>
      </c>
    </row>
    <row r="128" spans="1:17" x14ac:dyDescent="0.25">
      <c r="A128" t="s">
        <v>49</v>
      </c>
      <c r="B128" s="122">
        <v>0.2</v>
      </c>
      <c r="C128" t="s">
        <v>182</v>
      </c>
    </row>
    <row r="129" spans="1:3" x14ac:dyDescent="0.25">
      <c r="A129" t="s">
        <v>59</v>
      </c>
      <c r="B129" s="122">
        <v>0.25</v>
      </c>
      <c r="C129" t="s">
        <v>183</v>
      </c>
    </row>
    <row r="130" spans="1:3" x14ac:dyDescent="0.25">
      <c r="A130" t="s">
        <v>68</v>
      </c>
      <c r="B130" s="122">
        <v>0.3</v>
      </c>
      <c r="C130" t="s">
        <v>184</v>
      </c>
    </row>
    <row r="131" spans="1:3" x14ac:dyDescent="0.25">
      <c r="A131" t="s">
        <v>77</v>
      </c>
      <c r="B131" s="122">
        <v>0.35</v>
      </c>
      <c r="C131" t="s">
        <v>185</v>
      </c>
    </row>
    <row r="132" spans="1:3" x14ac:dyDescent="0.25">
      <c r="A132" t="s">
        <v>86</v>
      </c>
      <c r="B132" s="122">
        <v>0.4</v>
      </c>
      <c r="C132" t="s">
        <v>186</v>
      </c>
    </row>
    <row r="133" spans="1:3" x14ac:dyDescent="0.25">
      <c r="A133" t="s">
        <v>140</v>
      </c>
      <c r="B133" s="122">
        <v>0.45</v>
      </c>
      <c r="C133" t="s">
        <v>187</v>
      </c>
    </row>
    <row r="134" spans="1:3" x14ac:dyDescent="0.25">
      <c r="A134" t="s">
        <v>142</v>
      </c>
      <c r="B134" s="122">
        <v>0.5</v>
      </c>
      <c r="C134" t="s">
        <v>188</v>
      </c>
    </row>
    <row r="135" spans="1:3" x14ac:dyDescent="0.25">
      <c r="A135" t="s">
        <v>143</v>
      </c>
      <c r="B135" s="122">
        <v>0.55000000000000004</v>
      </c>
      <c r="C135" t="s">
        <v>189</v>
      </c>
    </row>
    <row r="136" spans="1:3" x14ac:dyDescent="0.25">
      <c r="A136" t="s">
        <v>144</v>
      </c>
      <c r="B136" s="122">
        <v>0.6</v>
      </c>
      <c r="C136" t="s">
        <v>190</v>
      </c>
    </row>
    <row r="137" spans="1:3" x14ac:dyDescent="0.25">
      <c r="A137" t="s">
        <v>145</v>
      </c>
      <c r="B137" s="122">
        <v>0.65</v>
      </c>
      <c r="C137" t="s">
        <v>191</v>
      </c>
    </row>
    <row r="138" spans="1:3" x14ac:dyDescent="0.25">
      <c r="A138" t="s">
        <v>146</v>
      </c>
      <c r="B138" s="122">
        <v>0.7</v>
      </c>
      <c r="C138" t="s">
        <v>192</v>
      </c>
    </row>
    <row r="139" spans="1:3" x14ac:dyDescent="0.25">
      <c r="A139" t="s">
        <v>147</v>
      </c>
      <c r="B139" s="122">
        <v>0.75</v>
      </c>
      <c r="C139" t="s">
        <v>193</v>
      </c>
    </row>
    <row r="140" spans="1:3" x14ac:dyDescent="0.25">
      <c r="A140" t="s">
        <v>219</v>
      </c>
      <c r="B140" s="122">
        <v>0.8</v>
      </c>
      <c r="C140" t="s">
        <v>194</v>
      </c>
    </row>
    <row r="141" spans="1:3" x14ac:dyDescent="0.25">
      <c r="B141" s="122">
        <v>0.85</v>
      </c>
      <c r="C141" t="s">
        <v>195</v>
      </c>
    </row>
    <row r="142" spans="1:3" x14ac:dyDescent="0.25">
      <c r="B142" s="122">
        <v>0.9</v>
      </c>
      <c r="C142" t="s">
        <v>196</v>
      </c>
    </row>
    <row r="143" spans="1:3" x14ac:dyDescent="0.25">
      <c r="B143" s="122">
        <v>0.95</v>
      </c>
      <c r="C143" t="s">
        <v>197</v>
      </c>
    </row>
    <row r="144" spans="1:3" x14ac:dyDescent="0.25">
      <c r="B144" s="122">
        <v>1</v>
      </c>
      <c r="C144" t="s">
        <v>198</v>
      </c>
    </row>
    <row r="145" spans="3:3" x14ac:dyDescent="0.25">
      <c r="C145" t="s">
        <v>209</v>
      </c>
    </row>
    <row r="146" spans="3:3" x14ac:dyDescent="0.25">
      <c r="C146" t="s">
        <v>210</v>
      </c>
    </row>
    <row r="147" spans="3:3" x14ac:dyDescent="0.25">
      <c r="C147" t="s">
        <v>211</v>
      </c>
    </row>
    <row r="148" spans="3:3" x14ac:dyDescent="0.25">
      <c r="C148" t="s">
        <v>212</v>
      </c>
    </row>
  </sheetData>
  <mergeCells count="6">
    <mergeCell ref="P25:Q25"/>
    <mergeCell ref="E6:G6"/>
    <mergeCell ref="H6:K6"/>
    <mergeCell ref="C7:D7"/>
    <mergeCell ref="H7:K7"/>
    <mergeCell ref="C25:L25"/>
  </mergeCells>
  <conditionalFormatting sqref="C21:L21">
    <cfRule type="cellIs" dxfId="87" priority="5" operator="greaterThanOrEqual">
      <formula>0</formula>
    </cfRule>
    <cfRule type="cellIs" dxfId="86" priority="6" operator="lessThan">
      <formula>0</formula>
    </cfRule>
  </conditionalFormatting>
  <conditionalFormatting sqref="C13:L13">
    <cfRule type="containsText" dxfId="85" priority="7" operator="containsText" text="Oui">
      <formula>NOT(ISERROR(SEARCH("Oui",C13)))</formula>
    </cfRule>
    <cfRule type="containsText" dxfId="84" priority="8" operator="containsText" text="Non">
      <formula>NOT(ISERROR(SEARCH("Non",C13)))</formula>
    </cfRule>
  </conditionalFormatting>
  <conditionalFormatting sqref="M27:M34 M36:M43 M45:M53 M55:M61 M63:M70 M72:M79 M81:M88 M90:M97 M99:M106 M108:M111 M113:M119">
    <cfRule type="containsText" dxfId="83" priority="2" operator="containsText" text="Non Possédée">
      <formula>NOT(ISERROR(SEARCH("Non Possédée",M27)))</formula>
    </cfRule>
    <cfRule type="containsText" dxfId="82" priority="3" operator="containsText" text="Assiégée">
      <formula>NOT(ISERROR(SEARCH("Assiégée",M27)))</formula>
    </cfRule>
    <cfRule type="containsText" dxfId="81" priority="4" operator="containsText" text="Possédée">
      <formula>NOT(ISERROR(SEARCH("Possédée",M27)))</formula>
    </cfRule>
  </conditionalFormatting>
  <conditionalFormatting sqref="N27:N34 N36:N43 N45:N53 N63:N70 N72:N79 N81:N88 N90:N97 N99:N106 N108:N111 N113:N119 N55:N61">
    <cfRule type="cellIs" dxfId="80" priority="1" operator="greaterThan">
      <formula>0</formula>
    </cfRule>
  </conditionalFormatting>
  <dataValidations count="4">
    <dataValidation type="list" errorStyle="information" allowBlank="1" showInputMessage="1" showErrorMessage="1" sqref="D8 E7">
      <formula1>Année</formula1>
    </dataValidation>
    <dataValidation type="list" allowBlank="1" showInputMessage="1" showErrorMessage="1" sqref="N108:N111 N27:N34 N36:N43 N113:N119 N45:N53 N63:N70 N72:N79 N81:N88 N90:N97 N99:N106 N55:N61">
      <formula1>Malus</formula1>
    </dataValidation>
    <dataValidation type="list" allowBlank="1" showInputMessage="1" showErrorMessage="1" sqref="M99:M106 M27:M34 M36:M43 M45:M53 M55:M61 M63:M70 M72:M79 M81:M88 M90:M97 M108:M111 M113:M119">
      <formula1>"Possédée,Assiégée,Non Possédée"</formula1>
    </dataValidation>
    <dataValidation type="list" allowBlank="1" showInputMessage="1" showErrorMessage="1" sqref="E6">
      <formula1>Provinces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8"/>
  <sheetViews>
    <sheetView workbookViewId="0">
      <selection activeCell="O1" sqref="O1"/>
    </sheetView>
  </sheetViews>
  <sheetFormatPr baseColWidth="10" defaultRowHeight="15" x14ac:dyDescent="0.25"/>
  <cols>
    <col min="1" max="1" width="21" customWidth="1"/>
    <col min="2" max="2" width="6.28515625" customWidth="1"/>
    <col min="13" max="13" width="13.85546875" customWidth="1"/>
    <col min="14" max="14" width="9.85546875" customWidth="1"/>
    <col min="15" max="15" width="10.140625" customWidth="1"/>
    <col min="16" max="16" width="12" customWidth="1"/>
    <col min="17" max="17" width="17.28515625" customWidth="1"/>
  </cols>
  <sheetData>
    <row r="1" spans="1:17" ht="21" x14ac:dyDescent="0.35">
      <c r="A1" s="2" t="s">
        <v>170</v>
      </c>
      <c r="B1" s="1"/>
    </row>
    <row r="3" spans="1:17" x14ac:dyDescent="0.25">
      <c r="A3" t="s">
        <v>141</v>
      </c>
    </row>
    <row r="4" spans="1:17" x14ac:dyDescent="0.25">
      <c r="A4" t="s">
        <v>220</v>
      </c>
    </row>
    <row r="6" spans="1:17" x14ac:dyDescent="0.25">
      <c r="A6" s="94" t="s">
        <v>148</v>
      </c>
      <c r="B6" s="95"/>
      <c r="C6" s="59" t="s">
        <v>149</v>
      </c>
      <c r="E6" s="156" t="s">
        <v>24</v>
      </c>
      <c r="F6" s="157"/>
      <c r="G6" s="158"/>
      <c r="H6" s="164" t="s">
        <v>207</v>
      </c>
      <c r="I6" s="165"/>
      <c r="J6" s="165"/>
      <c r="K6" s="163"/>
      <c r="L6" s="139">
        <v>8</v>
      </c>
      <c r="O6" s="137" t="s">
        <v>206</v>
      </c>
      <c r="Q6" s="97"/>
    </row>
    <row r="7" spans="1:17" x14ac:dyDescent="0.25">
      <c r="A7" s="98" t="s">
        <v>150</v>
      </c>
      <c r="B7" s="96"/>
      <c r="C7" s="166" t="s">
        <v>151</v>
      </c>
      <c r="D7" s="167"/>
      <c r="E7" s="138" t="s">
        <v>178</v>
      </c>
      <c r="F7" s="97"/>
      <c r="H7" s="162" t="s">
        <v>152</v>
      </c>
      <c r="I7" s="162"/>
      <c r="J7" s="162"/>
      <c r="K7" s="163"/>
      <c r="L7" s="140">
        <f>1-(COUNTIF(C13:L13,"Oui" )/10)</f>
        <v>0</v>
      </c>
      <c r="O7" s="153" t="s">
        <v>221</v>
      </c>
      <c r="P7" s="97"/>
      <c r="Q7" s="97"/>
    </row>
    <row r="8" spans="1:17" ht="15.75" thickBot="1" x14ac:dyDescent="0.3">
      <c r="A8" s="98"/>
      <c r="B8" s="96"/>
      <c r="H8" t="s">
        <v>208</v>
      </c>
      <c r="L8" s="152">
        <f>O119</f>
        <v>60000</v>
      </c>
      <c r="P8" s="97"/>
      <c r="Q8" s="97"/>
    </row>
    <row r="9" spans="1:17" ht="15.75" thickBot="1" x14ac:dyDescent="0.3">
      <c r="A9" s="97"/>
      <c r="B9" s="97"/>
      <c r="C9" s="100" t="s">
        <v>8</v>
      </c>
      <c r="D9" s="101" t="s">
        <v>9</v>
      </c>
      <c r="E9" s="101" t="s">
        <v>10</v>
      </c>
      <c r="F9" s="101" t="s">
        <v>137</v>
      </c>
      <c r="G9" s="101" t="s">
        <v>11</v>
      </c>
      <c r="H9" s="101" t="s">
        <v>138</v>
      </c>
      <c r="I9" s="101" t="s">
        <v>139</v>
      </c>
      <c r="J9" s="101" t="s">
        <v>12</v>
      </c>
      <c r="K9" s="101" t="s">
        <v>13</v>
      </c>
      <c r="L9" s="102" t="s">
        <v>105</v>
      </c>
    </row>
    <row r="10" spans="1:17" x14ac:dyDescent="0.25">
      <c r="A10" s="103" t="s">
        <v>153</v>
      </c>
      <c r="B10" s="97"/>
      <c r="C10" s="136">
        <v>120</v>
      </c>
      <c r="D10" s="104">
        <v>120</v>
      </c>
      <c r="E10" s="104">
        <v>120</v>
      </c>
      <c r="F10" s="104">
        <v>120</v>
      </c>
      <c r="G10" s="104">
        <v>120</v>
      </c>
      <c r="H10" s="104">
        <v>120</v>
      </c>
      <c r="I10" s="104">
        <v>120</v>
      </c>
      <c r="J10" s="104">
        <v>120</v>
      </c>
      <c r="K10" s="104">
        <v>120</v>
      </c>
      <c r="L10" s="135">
        <v>120</v>
      </c>
    </row>
    <row r="11" spans="1:17" x14ac:dyDescent="0.25">
      <c r="A11" s="103" t="s">
        <v>154</v>
      </c>
      <c r="B11" s="97"/>
      <c r="C11" s="105">
        <f>15*L6</f>
        <v>120</v>
      </c>
      <c r="D11" s="105">
        <f>15*L6</f>
        <v>120</v>
      </c>
      <c r="E11" s="105">
        <f>15*L6</f>
        <v>120</v>
      </c>
      <c r="F11" s="105">
        <f>15*L6</f>
        <v>120</v>
      </c>
      <c r="G11" s="105">
        <f>15*L6</f>
        <v>120</v>
      </c>
      <c r="H11" s="105">
        <f>15*L6</f>
        <v>120</v>
      </c>
      <c r="I11" s="105">
        <f>15*L6</f>
        <v>120</v>
      </c>
      <c r="J11" s="105">
        <f>15*L6</f>
        <v>120</v>
      </c>
      <c r="K11" s="105">
        <f>15*L6</f>
        <v>120</v>
      </c>
      <c r="L11" s="105">
        <f>15*L6</f>
        <v>120</v>
      </c>
    </row>
    <row r="12" spans="1:17" x14ac:dyDescent="0.25">
      <c r="A12" s="103" t="s">
        <v>155</v>
      </c>
      <c r="B12" s="97"/>
      <c r="C12" s="106">
        <f>C119</f>
        <v>0</v>
      </c>
      <c r="D12" s="106">
        <f>D119</f>
        <v>20</v>
      </c>
      <c r="E12" s="106">
        <f t="shared" ref="E12:L12" si="0">E119</f>
        <v>0</v>
      </c>
      <c r="F12" s="106">
        <f t="shared" si="0"/>
        <v>0</v>
      </c>
      <c r="G12" s="106">
        <f t="shared" si="0"/>
        <v>0</v>
      </c>
      <c r="H12" s="106">
        <f t="shared" si="0"/>
        <v>0</v>
      </c>
      <c r="I12" s="106">
        <f t="shared" si="0"/>
        <v>150</v>
      </c>
      <c r="J12" s="106">
        <f t="shared" si="0"/>
        <v>0</v>
      </c>
      <c r="K12" s="106">
        <f t="shared" si="0"/>
        <v>0</v>
      </c>
      <c r="L12" s="106">
        <f t="shared" si="0"/>
        <v>40</v>
      </c>
    </row>
    <row r="13" spans="1:17" x14ac:dyDescent="0.25">
      <c r="A13" s="88" t="s">
        <v>156</v>
      </c>
      <c r="B13" s="97"/>
      <c r="C13" s="107" t="str">
        <f>IF((C10-C11) &gt;= 0,"Oui","Non")</f>
        <v>Oui</v>
      </c>
      <c r="D13" s="107" t="str">
        <f t="shared" ref="D13:L13" si="1">IF((D10-D11) &gt;= 0,"Oui","Non")</f>
        <v>Oui</v>
      </c>
      <c r="E13" s="107" t="str">
        <f t="shared" si="1"/>
        <v>Oui</v>
      </c>
      <c r="F13" s="107" t="str">
        <f t="shared" si="1"/>
        <v>Oui</v>
      </c>
      <c r="G13" s="107" t="str">
        <f t="shared" si="1"/>
        <v>Oui</v>
      </c>
      <c r="H13" s="107" t="str">
        <f t="shared" si="1"/>
        <v>Oui</v>
      </c>
      <c r="I13" s="107" t="str">
        <f t="shared" si="1"/>
        <v>Oui</v>
      </c>
      <c r="J13" s="107" t="str">
        <f t="shared" si="1"/>
        <v>Oui</v>
      </c>
      <c r="K13" s="107" t="str">
        <f t="shared" si="1"/>
        <v>Oui</v>
      </c>
      <c r="L13" s="107" t="str">
        <f t="shared" si="1"/>
        <v>Oui</v>
      </c>
    </row>
    <row r="14" spans="1:17" x14ac:dyDescent="0.25">
      <c r="A14" s="103" t="s">
        <v>157</v>
      </c>
      <c r="B14" s="97"/>
      <c r="C14" s="108">
        <f>IF(C13="OUI",C10-C11+C12,C10+C12)</f>
        <v>0</v>
      </c>
      <c r="D14" s="108">
        <f>IF(D13="OUI",D10-D11+D12,D10+D12)</f>
        <v>20</v>
      </c>
      <c r="E14" s="108">
        <f t="shared" ref="E14:L14" si="2">IF(E13="OUI",E10-E11+E12,E10+E12)</f>
        <v>0</v>
      </c>
      <c r="F14" s="108">
        <f t="shared" si="2"/>
        <v>0</v>
      </c>
      <c r="G14" s="108">
        <f t="shared" si="2"/>
        <v>0</v>
      </c>
      <c r="H14" s="108">
        <f t="shared" si="2"/>
        <v>0</v>
      </c>
      <c r="I14" s="108">
        <f t="shared" si="2"/>
        <v>150</v>
      </c>
      <c r="J14" s="108">
        <f t="shared" si="2"/>
        <v>0</v>
      </c>
      <c r="K14" s="108">
        <f t="shared" si="2"/>
        <v>0</v>
      </c>
      <c r="L14" s="108">
        <f t="shared" si="2"/>
        <v>40</v>
      </c>
    </row>
    <row r="15" spans="1:17" x14ac:dyDescent="0.25">
      <c r="A15" s="103" t="s">
        <v>162</v>
      </c>
      <c r="B15" s="97"/>
      <c r="C15" s="142"/>
      <c r="D15" s="142"/>
      <c r="E15" s="142"/>
      <c r="F15" s="142"/>
      <c r="G15" s="142"/>
      <c r="H15" s="142"/>
      <c r="I15" s="142"/>
      <c r="J15" s="142"/>
      <c r="K15" s="142"/>
      <c r="L15" s="142"/>
    </row>
    <row r="16" spans="1:17" x14ac:dyDescent="0.25">
      <c r="A16" s="103" t="s">
        <v>165</v>
      </c>
      <c r="B16" s="97"/>
      <c r="C16" s="142"/>
      <c r="D16" s="142"/>
      <c r="E16" s="142"/>
      <c r="F16" s="142"/>
      <c r="G16" s="142"/>
      <c r="H16" s="142"/>
      <c r="I16" s="142"/>
      <c r="J16" s="142"/>
      <c r="K16" s="142"/>
      <c r="L16" s="142"/>
    </row>
    <row r="17" spans="1:17" x14ac:dyDescent="0.25">
      <c r="A17" s="103" t="s">
        <v>163</v>
      </c>
      <c r="B17" s="97"/>
      <c r="C17" s="141"/>
      <c r="D17" s="141"/>
      <c r="E17" s="141"/>
      <c r="F17" s="141"/>
      <c r="G17" s="141"/>
      <c r="H17" s="141"/>
      <c r="I17" s="141"/>
      <c r="J17" s="141"/>
      <c r="K17" s="141"/>
      <c r="L17" s="141"/>
    </row>
    <row r="18" spans="1:17" x14ac:dyDescent="0.25">
      <c r="A18" s="103" t="s">
        <v>164</v>
      </c>
      <c r="B18" s="97"/>
      <c r="C18" s="141"/>
      <c r="D18" s="141"/>
      <c r="E18" s="141"/>
      <c r="F18" s="141"/>
      <c r="G18" s="141"/>
      <c r="H18" s="141"/>
      <c r="I18" s="141"/>
      <c r="J18" s="141"/>
      <c r="K18" s="141"/>
      <c r="L18" s="141"/>
    </row>
    <row r="19" spans="1:17" x14ac:dyDescent="0.25">
      <c r="A19" s="109" t="s">
        <v>158</v>
      </c>
      <c r="B19" s="97"/>
      <c r="C19" s="110">
        <f>C14+C15+C16-C17-C18</f>
        <v>0</v>
      </c>
      <c r="D19" s="110">
        <f>D14+D15+D16-D17-D18</f>
        <v>20</v>
      </c>
      <c r="E19" s="110">
        <f t="shared" ref="E19:K19" si="3">E14+E15+E16-E17-E18</f>
        <v>0</v>
      </c>
      <c r="F19" s="110">
        <f>F14+F15+F16-F17-F18</f>
        <v>0</v>
      </c>
      <c r="G19" s="110">
        <f t="shared" si="3"/>
        <v>0</v>
      </c>
      <c r="H19" s="110">
        <f t="shared" si="3"/>
        <v>0</v>
      </c>
      <c r="I19" s="110">
        <f t="shared" si="3"/>
        <v>150</v>
      </c>
      <c r="J19" s="110">
        <f t="shared" si="3"/>
        <v>0</v>
      </c>
      <c r="K19" s="110">
        <f t="shared" si="3"/>
        <v>0</v>
      </c>
      <c r="L19" s="110">
        <f>L14+L15+L16-L17-L18</f>
        <v>40</v>
      </c>
    </row>
    <row r="20" spans="1:17" x14ac:dyDescent="0.25">
      <c r="A20" s="103" t="s">
        <v>161</v>
      </c>
      <c r="B20" s="97"/>
      <c r="C20" s="111">
        <f>(COUNTIF(M27:M111,"Possédée")+COUNTIF(M27:M111,"Assiégée"))*15</f>
        <v>15</v>
      </c>
      <c r="D20" s="111">
        <f>(COUNTIF(M27:M111,"Possédée")+COUNTIF(M27:M111,"Assiégée"))*15</f>
        <v>15</v>
      </c>
      <c r="E20" s="111">
        <f>(COUNTIF(M27:M111,"Possédée")+COUNTIF(M27:M111,"Assiégée"))*15</f>
        <v>15</v>
      </c>
      <c r="F20" s="111">
        <f>(COUNTIF(M27:M111,"Possédée")+COUNTIF(M27:M111,"Assiégée"))*15</f>
        <v>15</v>
      </c>
      <c r="G20" s="111">
        <f>(COUNTIF(M27:M111,"Possédée")+COUNTIF(M27:M111,"Assiégée"))*15</f>
        <v>15</v>
      </c>
      <c r="H20" s="111">
        <f>(COUNTIF(M27:M111,"Possédée")+COUNTIF(M27:M111,"Assiégée"))*15</f>
        <v>15</v>
      </c>
      <c r="I20" s="111">
        <f>(COUNTIF(M27:M111,"Possédée")+COUNTIF(M27:M111,"Assiégée"))*15</f>
        <v>15</v>
      </c>
      <c r="J20" s="111">
        <f>(COUNTIF(M27:M111,"Possédée")+COUNTIF(M27:M111,"Assiégée"))*15</f>
        <v>15</v>
      </c>
      <c r="K20" s="111">
        <f>(COUNTIF(M27:M111,"Possédée")+COUNTIF(M27:M111,"Assiégée"))*15</f>
        <v>15</v>
      </c>
      <c r="L20" s="111">
        <f>(COUNTIF(M27:M111,"Possédée")+COUNTIF(M27:M111,"Assiégée"))*15</f>
        <v>15</v>
      </c>
    </row>
    <row r="21" spans="1:17" x14ac:dyDescent="0.25">
      <c r="A21" s="103" t="s">
        <v>159</v>
      </c>
      <c r="B21" s="97"/>
      <c r="C21" s="112">
        <f>C19-C20</f>
        <v>-15</v>
      </c>
      <c r="D21" s="112">
        <f t="shared" ref="D21:L21" si="4">D19-D20</f>
        <v>5</v>
      </c>
      <c r="E21" s="112">
        <f>E19-E20</f>
        <v>-15</v>
      </c>
      <c r="F21" s="112">
        <f>F19-F20</f>
        <v>-15</v>
      </c>
      <c r="G21" s="112">
        <f t="shared" si="4"/>
        <v>-15</v>
      </c>
      <c r="H21" s="112">
        <f t="shared" si="4"/>
        <v>-15</v>
      </c>
      <c r="I21" s="112">
        <f t="shared" si="4"/>
        <v>135</v>
      </c>
      <c r="J21" s="112">
        <f t="shared" si="4"/>
        <v>-15</v>
      </c>
      <c r="K21" s="112">
        <f t="shared" si="4"/>
        <v>-15</v>
      </c>
      <c r="L21" s="112">
        <f t="shared" si="4"/>
        <v>25</v>
      </c>
    </row>
    <row r="22" spans="1:17" x14ac:dyDescent="0.25">
      <c r="A22" s="103"/>
      <c r="B22" s="97"/>
    </row>
    <row r="23" spans="1:17" x14ac:dyDescent="0.25">
      <c r="O23" s="99" t="s">
        <v>176</v>
      </c>
    </row>
    <row r="24" spans="1:17" ht="15.75" thickBot="1" x14ac:dyDescent="0.3">
      <c r="A24" s="114" t="s">
        <v>160</v>
      </c>
      <c r="H24" s="97"/>
      <c r="I24" s="97"/>
      <c r="J24" s="97"/>
    </row>
    <row r="25" spans="1:17" ht="15.75" thickBot="1" x14ac:dyDescent="0.3">
      <c r="A25" s="121" t="s">
        <v>168</v>
      </c>
      <c r="B25" s="75" t="s">
        <v>167</v>
      </c>
      <c r="C25" s="159" t="s">
        <v>169</v>
      </c>
      <c r="D25" s="160"/>
      <c r="E25" s="160"/>
      <c r="F25" s="160"/>
      <c r="G25" s="160"/>
      <c r="H25" s="160"/>
      <c r="I25" s="160"/>
      <c r="J25" s="160"/>
      <c r="K25" s="160"/>
      <c r="L25" s="161"/>
      <c r="M25" s="129" t="s">
        <v>171</v>
      </c>
      <c r="N25" s="115" t="s">
        <v>172</v>
      </c>
      <c r="O25" s="129" t="s">
        <v>213</v>
      </c>
      <c r="P25" s="154" t="s">
        <v>203</v>
      </c>
      <c r="Q25" s="155"/>
    </row>
    <row r="26" spans="1:17" ht="15.75" thickBot="1" x14ac:dyDescent="0.3">
      <c r="A26" s="3" t="s">
        <v>22</v>
      </c>
      <c r="B26" s="120" t="s">
        <v>166</v>
      </c>
      <c r="C26" s="91" t="s">
        <v>8</v>
      </c>
      <c r="D26" s="92" t="s">
        <v>9</v>
      </c>
      <c r="E26" s="92" t="s">
        <v>10</v>
      </c>
      <c r="F26" s="92" t="s">
        <v>137</v>
      </c>
      <c r="G26" s="92" t="s">
        <v>11</v>
      </c>
      <c r="H26" s="92" t="s">
        <v>138</v>
      </c>
      <c r="I26" s="92" t="s">
        <v>139</v>
      </c>
      <c r="J26" s="92" t="s">
        <v>12</v>
      </c>
      <c r="K26" s="92" t="s">
        <v>13</v>
      </c>
      <c r="L26" s="93" t="s">
        <v>105</v>
      </c>
      <c r="M26" s="130" t="s">
        <v>175</v>
      </c>
      <c r="N26" s="118" t="s">
        <v>177</v>
      </c>
      <c r="O26" s="130" t="s">
        <v>214</v>
      </c>
      <c r="P26" s="147" t="s">
        <v>204</v>
      </c>
      <c r="Q26" s="148" t="s">
        <v>205</v>
      </c>
    </row>
    <row r="27" spans="1:17" x14ac:dyDescent="0.25">
      <c r="A27" t="s">
        <v>0</v>
      </c>
      <c r="B27" s="115">
        <v>15</v>
      </c>
      <c r="C27" s="15"/>
      <c r="D27" s="15"/>
      <c r="E27" s="15"/>
      <c r="F27" s="15"/>
      <c r="G27" s="15"/>
      <c r="H27" s="15"/>
      <c r="I27" s="15">
        <f>TRUNC(90*Q27*(1-L7)*(1-N27))</f>
        <v>0</v>
      </c>
      <c r="J27" s="15"/>
      <c r="K27" s="15"/>
      <c r="L27" s="16">
        <f>TRUNC(120*Q27*(1-L7)*(1-N27))</f>
        <v>0</v>
      </c>
      <c r="M27" s="126" t="s">
        <v>173</v>
      </c>
      <c r="N27" s="123">
        <v>0</v>
      </c>
      <c r="O27" s="149">
        <f>IF(E$6="Archipel de l'Automne",60000*Q27*(1-L$7)*(1-N27),30000*Q27*(1-L$7)*(1-N27))</f>
        <v>0</v>
      </c>
      <c r="P27" s="143">
        <f>IF(OR(M27="Possédée",M27="Assiégée"),B27,0)</f>
        <v>0</v>
      </c>
      <c r="Q27" s="144">
        <f>IF(M27="Possédée",1,IF(M27="Assiégée",0.5,0))</f>
        <v>0</v>
      </c>
    </row>
    <row r="28" spans="1:17" x14ac:dyDescent="0.25">
      <c r="A28" t="s">
        <v>1</v>
      </c>
      <c r="B28" s="116">
        <v>15</v>
      </c>
      <c r="C28" s="17"/>
      <c r="D28" s="17"/>
      <c r="E28" s="17"/>
      <c r="F28" s="17"/>
      <c r="G28" s="17">
        <f>TRUNC(30*Q28*(1-L7)*(1-N28))</f>
        <v>0</v>
      </c>
      <c r="H28" s="17"/>
      <c r="I28" s="17"/>
      <c r="J28" s="17"/>
      <c r="K28" s="17"/>
      <c r="L28" s="18">
        <f>TRUNC(140*Q28*(1-L7)*(1-N28))</f>
        <v>0</v>
      </c>
      <c r="M28" s="127" t="s">
        <v>173</v>
      </c>
      <c r="N28" s="124">
        <v>0</v>
      </c>
      <c r="O28" s="150">
        <f>30000*Q28*(1-L$7)*(1-N28)</f>
        <v>0</v>
      </c>
      <c r="P28" s="145">
        <f>IF(OR(M28="Possédée",M28="Assiégée"),B28,0)</f>
        <v>0</v>
      </c>
      <c r="Q28" s="146">
        <f t="shared" ref="Q28:Q91" si="5">IF(M28="Possédée",1,IF(M28="Assiégée",0.5,0))</f>
        <v>0</v>
      </c>
    </row>
    <row r="29" spans="1:17" x14ac:dyDescent="0.25">
      <c r="A29" t="s">
        <v>2</v>
      </c>
      <c r="B29" s="116">
        <v>15</v>
      </c>
      <c r="C29" s="17">
        <f>TRUNC(60*Q29*(1-L7)*(1-N29))</f>
        <v>0</v>
      </c>
      <c r="D29" s="17"/>
      <c r="E29" s="17"/>
      <c r="F29" s="17"/>
      <c r="G29" s="17"/>
      <c r="H29" s="17"/>
      <c r="I29" s="17">
        <f>TRUNC(110*Q29*(1-L7)*(1-N29))</f>
        <v>0</v>
      </c>
      <c r="J29" s="17"/>
      <c r="K29" s="17"/>
      <c r="L29" s="18"/>
      <c r="M29" s="127" t="s">
        <v>173</v>
      </c>
      <c r="N29" s="124">
        <v>0</v>
      </c>
      <c r="O29" s="150">
        <f t="shared" ref="O29:O34" si="6">30000*Q29*(1-L$7)*(1-N29)</f>
        <v>0</v>
      </c>
      <c r="P29" s="145">
        <f t="shared" ref="P29:P92" si="7">IF(OR(M29="Possédée",M29="Assiégée"),B29,0)</f>
        <v>0</v>
      </c>
      <c r="Q29" s="146">
        <f t="shared" si="5"/>
        <v>0</v>
      </c>
    </row>
    <row r="30" spans="1:17" x14ac:dyDescent="0.25">
      <c r="A30" t="s">
        <v>3</v>
      </c>
      <c r="B30" s="116">
        <v>15</v>
      </c>
      <c r="C30" s="17">
        <f>TRUNC(40*Q30*(1-L7)*(1-N30))</f>
        <v>0</v>
      </c>
      <c r="D30" s="17"/>
      <c r="E30" s="17"/>
      <c r="F30" s="17"/>
      <c r="G30" s="17"/>
      <c r="H30" s="17"/>
      <c r="I30" s="17">
        <f>TRUNC(60*Q30*(1-L7)*(1-N30))</f>
        <v>0</v>
      </c>
      <c r="J30" s="17"/>
      <c r="K30" s="17">
        <f>TRUNC(70*Q30*(1-L7)*(1-N30))</f>
        <v>0</v>
      </c>
      <c r="L30" s="18"/>
      <c r="M30" s="127" t="s">
        <v>173</v>
      </c>
      <c r="N30" s="124">
        <v>0</v>
      </c>
      <c r="O30" s="150">
        <f t="shared" si="6"/>
        <v>0</v>
      </c>
      <c r="P30" s="145">
        <f t="shared" si="7"/>
        <v>0</v>
      </c>
      <c r="Q30" s="146">
        <f t="shared" si="5"/>
        <v>0</v>
      </c>
    </row>
    <row r="31" spans="1:17" x14ac:dyDescent="0.25">
      <c r="A31" t="s">
        <v>4</v>
      </c>
      <c r="B31" s="116">
        <v>15</v>
      </c>
      <c r="C31" s="17"/>
      <c r="D31" s="17"/>
      <c r="E31" s="17"/>
      <c r="F31" s="17"/>
      <c r="G31" s="17"/>
      <c r="H31" s="17"/>
      <c r="I31" s="17">
        <f>TRUNC(80*Q31*(1-L7)*(1-N31))</f>
        <v>0</v>
      </c>
      <c r="J31" s="17"/>
      <c r="K31" s="17"/>
      <c r="L31" s="18">
        <f>TRUNC(90*Q31*(1-L7)*(1-N31))</f>
        <v>0</v>
      </c>
      <c r="M31" s="127" t="s">
        <v>173</v>
      </c>
      <c r="N31" s="124">
        <v>0</v>
      </c>
      <c r="O31" s="150">
        <f t="shared" si="6"/>
        <v>0</v>
      </c>
      <c r="P31" s="145">
        <f t="shared" si="7"/>
        <v>0</v>
      </c>
      <c r="Q31" s="146">
        <f t="shared" si="5"/>
        <v>0</v>
      </c>
    </row>
    <row r="32" spans="1:17" x14ac:dyDescent="0.25">
      <c r="A32" t="s">
        <v>5</v>
      </c>
      <c r="B32" s="116">
        <v>15</v>
      </c>
      <c r="C32" s="17"/>
      <c r="D32" s="17"/>
      <c r="E32" s="17"/>
      <c r="F32" s="17"/>
      <c r="G32" s="17"/>
      <c r="H32" s="17"/>
      <c r="I32" s="17"/>
      <c r="J32" s="17"/>
      <c r="K32" s="17">
        <f>TRUNC(170*Q32*(1-L7)*(1-N32))</f>
        <v>0</v>
      </c>
      <c r="L32" s="18"/>
      <c r="M32" s="127" t="s">
        <v>173</v>
      </c>
      <c r="N32" s="124">
        <v>0</v>
      </c>
      <c r="O32" s="150">
        <f t="shared" si="6"/>
        <v>0</v>
      </c>
      <c r="P32" s="145">
        <f t="shared" si="7"/>
        <v>0</v>
      </c>
      <c r="Q32" s="146">
        <f t="shared" si="5"/>
        <v>0</v>
      </c>
    </row>
    <row r="33" spans="1:17" x14ac:dyDescent="0.25">
      <c r="A33" t="s">
        <v>6</v>
      </c>
      <c r="B33" s="116">
        <v>15</v>
      </c>
      <c r="C33" s="17">
        <f>TRUNC(40*Q33*(1-L7)*(1-N33))</f>
        <v>0</v>
      </c>
      <c r="D33" s="17"/>
      <c r="E33" s="17"/>
      <c r="F33" s="17">
        <f>TRUNC(130*Q33*(1-L7)*(1-N33))</f>
        <v>0</v>
      </c>
      <c r="G33" s="17"/>
      <c r="H33" s="17"/>
      <c r="I33" s="17"/>
      <c r="J33" s="17"/>
      <c r="K33" s="17"/>
      <c r="L33" s="18"/>
      <c r="M33" s="127" t="s">
        <v>173</v>
      </c>
      <c r="N33" s="124">
        <v>0</v>
      </c>
      <c r="O33" s="150">
        <f t="shared" si="6"/>
        <v>0</v>
      </c>
      <c r="P33" s="145">
        <f t="shared" si="7"/>
        <v>0</v>
      </c>
      <c r="Q33" s="146">
        <f t="shared" si="5"/>
        <v>0</v>
      </c>
    </row>
    <row r="34" spans="1:17" ht="15.75" thickBot="1" x14ac:dyDescent="0.3">
      <c r="A34" t="s">
        <v>7</v>
      </c>
      <c r="B34" s="116">
        <v>15</v>
      </c>
      <c r="C34" s="17"/>
      <c r="D34" s="17">
        <f>TRUNC(70*Q34*(1-L7)*(1-N34))</f>
        <v>0</v>
      </c>
      <c r="E34" s="17"/>
      <c r="F34" s="17"/>
      <c r="G34" s="17"/>
      <c r="H34" s="17"/>
      <c r="I34" s="17"/>
      <c r="J34" s="17"/>
      <c r="K34" s="17"/>
      <c r="L34" s="18">
        <f>TRUNC(100*Q34*(1-L7)*(1-N34))</f>
        <v>0</v>
      </c>
      <c r="M34" s="127" t="s">
        <v>173</v>
      </c>
      <c r="N34" s="124">
        <v>0</v>
      </c>
      <c r="O34" s="150">
        <f t="shared" si="6"/>
        <v>0</v>
      </c>
      <c r="P34" s="145">
        <f>IF(OR(M34="Possédée",M34="Assiégée"),B34,0)</f>
        <v>0</v>
      </c>
      <c r="Q34" s="146">
        <f t="shared" si="5"/>
        <v>0</v>
      </c>
    </row>
    <row r="35" spans="1:17" ht="15.75" thickBot="1" x14ac:dyDescent="0.3">
      <c r="A35" s="10" t="s">
        <v>23</v>
      </c>
      <c r="B35" s="117" t="s">
        <v>166</v>
      </c>
      <c r="C35" s="91" t="s">
        <v>8</v>
      </c>
      <c r="D35" s="92" t="s">
        <v>9</v>
      </c>
      <c r="E35" s="92" t="s">
        <v>10</v>
      </c>
      <c r="F35" s="92" t="s">
        <v>137</v>
      </c>
      <c r="G35" s="92" t="s">
        <v>11</v>
      </c>
      <c r="H35" s="92" t="s">
        <v>138</v>
      </c>
      <c r="I35" s="92" t="s">
        <v>139</v>
      </c>
      <c r="J35" s="92" t="s">
        <v>12</v>
      </c>
      <c r="K35" s="92" t="s">
        <v>13</v>
      </c>
      <c r="L35" s="93" t="s">
        <v>105</v>
      </c>
      <c r="M35" s="93"/>
      <c r="N35" s="93"/>
      <c r="O35" s="151"/>
      <c r="P35" s="147"/>
      <c r="Q35" s="148"/>
    </row>
    <row r="36" spans="1:17" x14ac:dyDescent="0.25">
      <c r="A36" t="s">
        <v>14</v>
      </c>
      <c r="B36" s="115">
        <v>15</v>
      </c>
      <c r="C36" s="19"/>
      <c r="D36" s="17"/>
      <c r="E36" s="17">
        <f>TRUNC(60*Q36*(1-L7)*(1-N36))</f>
        <v>0</v>
      </c>
      <c r="F36" s="17"/>
      <c r="G36" s="17">
        <f>TRUNC(150*Q36*(1-L7)*(1-N36))</f>
        <v>0</v>
      </c>
      <c r="H36" s="17"/>
      <c r="I36" s="17"/>
      <c r="J36" s="17"/>
      <c r="K36" s="17"/>
      <c r="L36" s="18"/>
      <c r="M36" s="127" t="s">
        <v>173</v>
      </c>
      <c r="N36" s="124">
        <v>0</v>
      </c>
      <c r="O36" s="149">
        <f>IF(E$6="Bordeciel",60000*Q36*(1-L$7)*(1-N36),30000*Q36*(1-L$7)*(1-N36))</f>
        <v>0</v>
      </c>
      <c r="P36" s="145">
        <f t="shared" si="7"/>
        <v>0</v>
      </c>
      <c r="Q36" s="146">
        <f t="shared" si="5"/>
        <v>0</v>
      </c>
    </row>
    <row r="37" spans="1:17" x14ac:dyDescent="0.25">
      <c r="A37" t="s">
        <v>15</v>
      </c>
      <c r="B37" s="116">
        <v>15</v>
      </c>
      <c r="C37" s="19"/>
      <c r="D37" s="17"/>
      <c r="E37" s="17"/>
      <c r="F37" s="17"/>
      <c r="G37" s="17"/>
      <c r="H37" s="17"/>
      <c r="I37" s="17"/>
      <c r="J37" s="17"/>
      <c r="K37" s="17">
        <f>TRUNC(170*Q37*(1-L7)*(1-N37))</f>
        <v>0</v>
      </c>
      <c r="L37" s="18"/>
      <c r="M37" s="127" t="s">
        <v>173</v>
      </c>
      <c r="N37" s="124">
        <v>0</v>
      </c>
      <c r="O37" s="150">
        <f>30000*Q37*(1-L$7)*(1-N37)</f>
        <v>0</v>
      </c>
      <c r="P37" s="145">
        <f t="shared" si="7"/>
        <v>0</v>
      </c>
      <c r="Q37" s="146">
        <f t="shared" si="5"/>
        <v>0</v>
      </c>
    </row>
    <row r="38" spans="1:17" x14ac:dyDescent="0.25">
      <c r="A38" t="s">
        <v>16</v>
      </c>
      <c r="B38" s="116">
        <v>15</v>
      </c>
      <c r="C38" s="19"/>
      <c r="D38" s="17">
        <f>TRUNC(130*Q38*(1-L7)*(1-N38))</f>
        <v>0</v>
      </c>
      <c r="E38" s="17"/>
      <c r="F38" s="17"/>
      <c r="G38" s="17">
        <f>TRUNC(40*Q38*(1-L7)*(1-N38))</f>
        <v>0</v>
      </c>
      <c r="H38" s="17"/>
      <c r="I38" s="17"/>
      <c r="J38" s="17"/>
      <c r="K38" s="17"/>
      <c r="L38" s="18"/>
      <c r="M38" s="127" t="s">
        <v>173</v>
      </c>
      <c r="N38" s="124">
        <v>0</v>
      </c>
      <c r="O38" s="150">
        <f t="shared" ref="O38:O43" si="8">30000*Q38*(1-L$7)*(1-N38)</f>
        <v>0</v>
      </c>
      <c r="P38" s="145">
        <f t="shared" si="7"/>
        <v>0</v>
      </c>
      <c r="Q38" s="146">
        <f t="shared" si="5"/>
        <v>0</v>
      </c>
    </row>
    <row r="39" spans="1:17" x14ac:dyDescent="0.25">
      <c r="A39" t="s">
        <v>17</v>
      </c>
      <c r="B39" s="116">
        <v>15</v>
      </c>
      <c r="C39" s="19">
        <f>TRUNC(70*Q39*(1-L7)*(1-N39))</f>
        <v>0</v>
      </c>
      <c r="D39" s="17">
        <f>TRUNC(60*Q39*(1-L7)*(1-N39))</f>
        <v>0</v>
      </c>
      <c r="E39" s="17">
        <f>TRUNC(40*Q39*(1-L7)*(1-N39))</f>
        <v>0</v>
      </c>
      <c r="F39" s="17"/>
      <c r="G39" s="17"/>
      <c r="H39" s="17"/>
      <c r="I39" s="17"/>
      <c r="J39" s="17"/>
      <c r="K39" s="17"/>
      <c r="L39" s="18"/>
      <c r="M39" s="127" t="s">
        <v>173</v>
      </c>
      <c r="N39" s="124">
        <v>0</v>
      </c>
      <c r="O39" s="150">
        <f t="shared" si="8"/>
        <v>0</v>
      </c>
      <c r="P39" s="145">
        <f t="shared" si="7"/>
        <v>0</v>
      </c>
      <c r="Q39" s="146">
        <f t="shared" si="5"/>
        <v>0</v>
      </c>
    </row>
    <row r="40" spans="1:17" x14ac:dyDescent="0.25">
      <c r="A40" t="s">
        <v>18</v>
      </c>
      <c r="B40" s="116">
        <v>15</v>
      </c>
      <c r="C40" s="19"/>
      <c r="D40" s="17">
        <f>TRUNC(20*Q40*(1-L7)*(1-N40))</f>
        <v>0</v>
      </c>
      <c r="E40" s="17"/>
      <c r="F40" s="17">
        <f>TRUNC(100*Q40*(1-L7)*(1-N40))</f>
        <v>0</v>
      </c>
      <c r="G40" s="17">
        <f>TRUNC(50*Q40*(1-L7)*(1-N40))</f>
        <v>0</v>
      </c>
      <c r="H40" s="17"/>
      <c r="I40" s="17"/>
      <c r="J40" s="17"/>
      <c r="K40" s="17"/>
      <c r="L40" s="18"/>
      <c r="M40" s="127" t="s">
        <v>173</v>
      </c>
      <c r="N40" s="124">
        <v>0</v>
      </c>
      <c r="O40" s="150">
        <f t="shared" si="8"/>
        <v>0</v>
      </c>
      <c r="P40" s="145">
        <f t="shared" si="7"/>
        <v>0</v>
      </c>
      <c r="Q40" s="146">
        <f t="shared" si="5"/>
        <v>0</v>
      </c>
    </row>
    <row r="41" spans="1:17" x14ac:dyDescent="0.25">
      <c r="A41" t="s">
        <v>19</v>
      </c>
      <c r="B41" s="116">
        <v>15</v>
      </c>
      <c r="C41" s="19"/>
      <c r="D41" s="17"/>
      <c r="E41" s="17"/>
      <c r="F41" s="17"/>
      <c r="G41" s="17">
        <f>TRUNC(170*Q41*(1-L7)*(1-N41))</f>
        <v>0</v>
      </c>
      <c r="H41" s="17"/>
      <c r="I41" s="17"/>
      <c r="J41" s="17"/>
      <c r="K41" s="17"/>
      <c r="L41" s="18"/>
      <c r="M41" s="127" t="s">
        <v>173</v>
      </c>
      <c r="N41" s="124">
        <v>0</v>
      </c>
      <c r="O41" s="150">
        <f t="shared" si="8"/>
        <v>0</v>
      </c>
      <c r="P41" s="145">
        <f t="shared" si="7"/>
        <v>0</v>
      </c>
      <c r="Q41" s="146">
        <f t="shared" si="5"/>
        <v>0</v>
      </c>
    </row>
    <row r="42" spans="1:17" x14ac:dyDescent="0.25">
      <c r="A42" t="s">
        <v>20</v>
      </c>
      <c r="B42" s="116">
        <v>15</v>
      </c>
      <c r="C42" s="19"/>
      <c r="D42" s="17"/>
      <c r="E42" s="17">
        <f>TRUNC(90*Q42*(1-L7)*(1-N42))</f>
        <v>0</v>
      </c>
      <c r="F42" s="17">
        <f>TRUNC(40*Q42*(1-L7)*(1-N42))</f>
        <v>0</v>
      </c>
      <c r="G42" s="17"/>
      <c r="H42" s="17"/>
      <c r="I42" s="17"/>
      <c r="J42" s="17"/>
      <c r="K42" s="17">
        <f>TRUNC(40*Q42*(1-L7)*(1-N42))</f>
        <v>0</v>
      </c>
      <c r="L42" s="18"/>
      <c r="M42" s="127" t="s">
        <v>173</v>
      </c>
      <c r="N42" s="124">
        <v>0</v>
      </c>
      <c r="O42" s="150">
        <f t="shared" si="8"/>
        <v>0</v>
      </c>
      <c r="P42" s="145">
        <f t="shared" si="7"/>
        <v>0</v>
      </c>
      <c r="Q42" s="146">
        <f t="shared" si="5"/>
        <v>0</v>
      </c>
    </row>
    <row r="43" spans="1:17" ht="15.75" thickBot="1" x14ac:dyDescent="0.3">
      <c r="A43" t="s">
        <v>21</v>
      </c>
      <c r="B43" s="116">
        <v>15</v>
      </c>
      <c r="C43" s="19"/>
      <c r="D43" s="17"/>
      <c r="E43" s="17"/>
      <c r="F43" s="17"/>
      <c r="G43" s="17">
        <f>TRUNC(70*Q43*(1-L7)*(1-N43))</f>
        <v>0</v>
      </c>
      <c r="H43" s="17"/>
      <c r="I43" s="17"/>
      <c r="J43" s="17"/>
      <c r="K43" s="17">
        <f>TRUNC(100*Q43*(1-L7)*(1-N43))</f>
        <v>0</v>
      </c>
      <c r="L43" s="18"/>
      <c r="M43" s="127" t="s">
        <v>173</v>
      </c>
      <c r="N43" s="124">
        <v>0</v>
      </c>
      <c r="O43" s="150">
        <f t="shared" si="8"/>
        <v>0</v>
      </c>
      <c r="P43" s="145">
        <f t="shared" si="7"/>
        <v>0</v>
      </c>
      <c r="Q43" s="146">
        <f t="shared" si="5"/>
        <v>0</v>
      </c>
    </row>
    <row r="44" spans="1:17" ht="15.75" thickBot="1" x14ac:dyDescent="0.3">
      <c r="A44" s="3" t="s">
        <v>24</v>
      </c>
      <c r="B44" s="117" t="s">
        <v>166</v>
      </c>
      <c r="C44" s="91" t="s">
        <v>8</v>
      </c>
      <c r="D44" s="92" t="s">
        <v>9</v>
      </c>
      <c r="E44" s="92" t="s">
        <v>10</v>
      </c>
      <c r="F44" s="92" t="s">
        <v>137</v>
      </c>
      <c r="G44" s="92" t="s">
        <v>11</v>
      </c>
      <c r="H44" s="92" t="s">
        <v>138</v>
      </c>
      <c r="I44" s="92" t="s">
        <v>139</v>
      </c>
      <c r="J44" s="92" t="s">
        <v>12</v>
      </c>
      <c r="K44" s="92" t="s">
        <v>13</v>
      </c>
      <c r="L44" s="93" t="s">
        <v>105</v>
      </c>
      <c r="M44" s="93"/>
      <c r="N44" s="93"/>
      <c r="O44" s="151"/>
      <c r="P44" s="147"/>
      <c r="Q44" s="148"/>
    </row>
    <row r="45" spans="1:17" x14ac:dyDescent="0.25">
      <c r="A45" t="s">
        <v>25</v>
      </c>
      <c r="B45" s="115">
        <v>15</v>
      </c>
      <c r="C45" s="15"/>
      <c r="D45" s="15">
        <f>TRUNC(20*Q45*(1-L7)*(1-N45))</f>
        <v>20</v>
      </c>
      <c r="E45" s="15"/>
      <c r="F45" s="15"/>
      <c r="G45" s="15"/>
      <c r="H45" s="15"/>
      <c r="I45" s="15">
        <f>TRUNC(150*Q45*(1-L7)*(1-N45))</f>
        <v>150</v>
      </c>
      <c r="J45" s="15"/>
      <c r="K45" s="15"/>
      <c r="L45" s="16">
        <f>TRUNC(40*Q45*(1-L7)*(1-N45))</f>
        <v>40</v>
      </c>
      <c r="M45" s="127" t="s">
        <v>174</v>
      </c>
      <c r="N45" s="124">
        <v>0</v>
      </c>
      <c r="O45" s="149">
        <f>IF(E$6="Cyrodiil",60000*Q45*(1-L$7)*(1-N45),30000*Q45*(1-L$7)*(1-N45))</f>
        <v>60000</v>
      </c>
      <c r="P45" s="145">
        <f t="shared" si="7"/>
        <v>15</v>
      </c>
      <c r="Q45" s="146">
        <f t="shared" si="5"/>
        <v>1</v>
      </c>
    </row>
    <row r="46" spans="1:17" x14ac:dyDescent="0.25">
      <c r="A46" t="s">
        <v>27</v>
      </c>
      <c r="B46" s="116">
        <v>15</v>
      </c>
      <c r="C46" s="17"/>
      <c r="D46" s="17">
        <f>TRUNC(120*Q46*(1-L7)*(1-N46))</f>
        <v>0</v>
      </c>
      <c r="E46" s="17">
        <f>TRUNC(50*Q46*(1-L7)*(1-N46))</f>
        <v>0</v>
      </c>
      <c r="F46" s="17"/>
      <c r="G46" s="17"/>
      <c r="H46" s="17"/>
      <c r="I46" s="17"/>
      <c r="J46" s="17"/>
      <c r="K46" s="17"/>
      <c r="L46" s="18"/>
      <c r="M46" s="127" t="s">
        <v>173</v>
      </c>
      <c r="N46" s="124">
        <v>0</v>
      </c>
      <c r="O46" s="150">
        <f>30000*Q46*(1-L$7)*(1-N46)</f>
        <v>0</v>
      </c>
      <c r="P46" s="145">
        <f t="shared" si="7"/>
        <v>0</v>
      </c>
      <c r="Q46" s="146">
        <f t="shared" si="5"/>
        <v>0</v>
      </c>
    </row>
    <row r="47" spans="1:17" x14ac:dyDescent="0.25">
      <c r="A47" t="s">
        <v>26</v>
      </c>
      <c r="B47" s="116">
        <v>15</v>
      </c>
      <c r="C47" s="17"/>
      <c r="D47" s="17">
        <f>TRUNC(60*Q47*(1-L7)*(1-N47))</f>
        <v>0</v>
      </c>
      <c r="E47" s="17">
        <f>TRUNC(110*Q47*(1-L7)*(1-N47))</f>
        <v>0</v>
      </c>
      <c r="F47" s="17"/>
      <c r="G47" s="17"/>
      <c r="H47" s="17"/>
      <c r="I47" s="17"/>
      <c r="J47" s="17"/>
      <c r="K47" s="17"/>
      <c r="L47" s="18"/>
      <c r="M47" s="127" t="s">
        <v>173</v>
      </c>
      <c r="N47" s="124">
        <v>0</v>
      </c>
      <c r="O47" s="150">
        <f>30000*Q47*(1-L$7)*(1-N47)</f>
        <v>0</v>
      </c>
      <c r="P47" s="145">
        <f t="shared" si="7"/>
        <v>0</v>
      </c>
      <c r="Q47" s="146">
        <f t="shared" si="5"/>
        <v>0</v>
      </c>
    </row>
    <row r="48" spans="1:17" x14ac:dyDescent="0.25">
      <c r="A48" t="s">
        <v>28</v>
      </c>
      <c r="B48" s="116">
        <v>15</v>
      </c>
      <c r="C48" s="17"/>
      <c r="D48" s="17">
        <f>TRUNC(170*Q48*(1-L7)*(1-N48))</f>
        <v>0</v>
      </c>
      <c r="E48" s="17"/>
      <c r="F48" s="17"/>
      <c r="G48" s="17"/>
      <c r="H48" s="17"/>
      <c r="I48" s="17"/>
      <c r="J48" s="17"/>
      <c r="K48" s="17"/>
      <c r="L48" s="18"/>
      <c r="M48" s="127" t="s">
        <v>173</v>
      </c>
      <c r="N48" s="124">
        <v>0</v>
      </c>
      <c r="O48" s="150">
        <f t="shared" ref="O48:O53" si="9">30000*Q48*(1-L$7)*(1-N48)</f>
        <v>0</v>
      </c>
      <c r="P48" s="145">
        <f t="shared" si="7"/>
        <v>0</v>
      </c>
      <c r="Q48" s="146">
        <f t="shared" si="5"/>
        <v>0</v>
      </c>
    </row>
    <row r="49" spans="1:17" x14ac:dyDescent="0.25">
      <c r="A49" t="s">
        <v>29</v>
      </c>
      <c r="B49" s="116">
        <v>15</v>
      </c>
      <c r="C49" s="17"/>
      <c r="D49" s="17"/>
      <c r="E49" s="17"/>
      <c r="F49" s="17"/>
      <c r="G49" s="17"/>
      <c r="H49" s="17"/>
      <c r="I49" s="17"/>
      <c r="J49" s="17">
        <f>TRUNC(170*Q49*(1-L7)*(1-N49))</f>
        <v>0</v>
      </c>
      <c r="K49" s="17"/>
      <c r="L49" s="18"/>
      <c r="M49" s="127" t="s">
        <v>173</v>
      </c>
      <c r="N49" s="124">
        <v>0</v>
      </c>
      <c r="O49" s="150">
        <f t="shared" si="9"/>
        <v>0</v>
      </c>
      <c r="P49" s="145">
        <f t="shared" si="7"/>
        <v>0</v>
      </c>
      <c r="Q49" s="146">
        <f t="shared" si="5"/>
        <v>0</v>
      </c>
    </row>
    <row r="50" spans="1:17" x14ac:dyDescent="0.25">
      <c r="A50" t="s">
        <v>58</v>
      </c>
      <c r="B50" s="116">
        <v>15</v>
      </c>
      <c r="C50" s="17">
        <f>TRUNC(170*Q50*(1-L7)*(1-N50))</f>
        <v>0</v>
      </c>
      <c r="D50" s="17"/>
      <c r="E50" s="17"/>
      <c r="F50" s="17"/>
      <c r="G50" s="17"/>
      <c r="H50" s="17"/>
      <c r="I50" s="17"/>
      <c r="J50" s="17"/>
      <c r="K50" s="17"/>
      <c r="L50" s="18"/>
      <c r="M50" s="127" t="s">
        <v>173</v>
      </c>
      <c r="N50" s="124">
        <v>0</v>
      </c>
      <c r="O50" s="150">
        <f t="shared" si="9"/>
        <v>0</v>
      </c>
      <c r="P50" s="145">
        <f t="shared" si="7"/>
        <v>0</v>
      </c>
      <c r="Q50" s="146">
        <f t="shared" si="5"/>
        <v>0</v>
      </c>
    </row>
    <row r="51" spans="1:17" x14ac:dyDescent="0.25">
      <c r="A51" t="s">
        <v>30</v>
      </c>
      <c r="B51" s="116">
        <v>15</v>
      </c>
      <c r="C51" s="17">
        <f>TRUNC(100*Q51*(1-L7)*(1-N51))</f>
        <v>0</v>
      </c>
      <c r="D51" s="17"/>
      <c r="E51" s="17"/>
      <c r="F51" s="17"/>
      <c r="G51" s="17"/>
      <c r="H51" s="17"/>
      <c r="I51" s="17"/>
      <c r="J51" s="17">
        <f>TRUNC(70*Q51*(1-L7)*(1-N51))</f>
        <v>0</v>
      </c>
      <c r="K51" s="17"/>
      <c r="L51" s="18"/>
      <c r="M51" s="127" t="s">
        <v>173</v>
      </c>
      <c r="N51" s="124">
        <v>0</v>
      </c>
      <c r="O51" s="150">
        <f t="shared" si="9"/>
        <v>0</v>
      </c>
      <c r="P51" s="145">
        <f t="shared" si="7"/>
        <v>0</v>
      </c>
      <c r="Q51" s="146">
        <f t="shared" si="5"/>
        <v>0</v>
      </c>
    </row>
    <row r="52" spans="1:17" x14ac:dyDescent="0.25">
      <c r="A52" t="s">
        <v>31</v>
      </c>
      <c r="B52" s="116">
        <v>15</v>
      </c>
      <c r="C52" s="17">
        <f>TRUNC(90*Q52*(1-L7)*(1-N52))</f>
        <v>0</v>
      </c>
      <c r="D52" s="17"/>
      <c r="E52" s="17">
        <f>TRUNC(40*Q52*(1-L7)*(1-N52))</f>
        <v>0</v>
      </c>
      <c r="F52" s="17">
        <f>TRUNC(40*Q52*(1-L7)*(1-N52))</f>
        <v>0</v>
      </c>
      <c r="G52" s="17"/>
      <c r="H52" s="17"/>
      <c r="I52" s="17"/>
      <c r="J52" s="17"/>
      <c r="K52" s="17"/>
      <c r="L52" s="18"/>
      <c r="M52" s="127" t="s">
        <v>173</v>
      </c>
      <c r="N52" s="124">
        <v>0</v>
      </c>
      <c r="O52" s="150">
        <f t="shared" si="9"/>
        <v>0</v>
      </c>
      <c r="P52" s="145">
        <f t="shared" si="7"/>
        <v>0</v>
      </c>
      <c r="Q52" s="146">
        <f t="shared" si="5"/>
        <v>0</v>
      </c>
    </row>
    <row r="53" spans="1:17" ht="15.75" thickBot="1" x14ac:dyDescent="0.3">
      <c r="A53" t="s">
        <v>32</v>
      </c>
      <c r="B53" s="118">
        <v>15</v>
      </c>
      <c r="C53" s="20">
        <f>TRUNC(110*Q53*(1-L7)*(1-N53))</f>
        <v>0</v>
      </c>
      <c r="D53" s="21"/>
      <c r="E53" s="21"/>
      <c r="F53" s="21"/>
      <c r="G53" s="21"/>
      <c r="H53" s="21">
        <f>TRUNC(60*Q53*(1-L7)*(1-N53))</f>
        <v>0</v>
      </c>
      <c r="I53" s="21"/>
      <c r="J53" s="21"/>
      <c r="K53" s="21"/>
      <c r="L53" s="22"/>
      <c r="M53" s="127" t="s">
        <v>173</v>
      </c>
      <c r="N53" s="124">
        <v>0</v>
      </c>
      <c r="O53" s="150">
        <f t="shared" si="9"/>
        <v>0</v>
      </c>
      <c r="P53" s="145">
        <f t="shared" si="7"/>
        <v>0</v>
      </c>
      <c r="Q53" s="146">
        <f t="shared" si="5"/>
        <v>0</v>
      </c>
    </row>
    <row r="54" spans="1:17" ht="15.75" thickBot="1" x14ac:dyDescent="0.3">
      <c r="A54" s="3" t="s">
        <v>33</v>
      </c>
      <c r="B54" s="117" t="s">
        <v>166</v>
      </c>
      <c r="C54" s="91" t="s">
        <v>8</v>
      </c>
      <c r="D54" s="92" t="s">
        <v>9</v>
      </c>
      <c r="E54" s="92" t="s">
        <v>10</v>
      </c>
      <c r="F54" s="92" t="s">
        <v>137</v>
      </c>
      <c r="G54" s="92" t="s">
        <v>11</v>
      </c>
      <c r="H54" s="92" t="s">
        <v>138</v>
      </c>
      <c r="I54" s="92" t="s">
        <v>139</v>
      </c>
      <c r="J54" s="92" t="s">
        <v>12</v>
      </c>
      <c r="K54" s="92" t="s">
        <v>13</v>
      </c>
      <c r="L54" s="93" t="s">
        <v>105</v>
      </c>
      <c r="M54" s="93"/>
      <c r="N54" s="93"/>
      <c r="O54" s="151"/>
      <c r="P54" s="147"/>
      <c r="Q54" s="148"/>
    </row>
    <row r="55" spans="1:17" x14ac:dyDescent="0.25">
      <c r="A55" t="s">
        <v>34</v>
      </c>
      <c r="B55" s="115">
        <v>15</v>
      </c>
      <c r="C55" s="15"/>
      <c r="D55" s="15">
        <f>TRUNC(150*Q55*(1-L7)*(1-N55))</f>
        <v>0</v>
      </c>
      <c r="E55" s="15"/>
      <c r="F55" s="15"/>
      <c r="G55" s="15"/>
      <c r="H55" s="15"/>
      <c r="I55" s="15"/>
      <c r="J55" s="15">
        <f>TRUNC(60*Q55*(1-L7)*(1-N55))</f>
        <v>0</v>
      </c>
      <c r="K55" s="15"/>
      <c r="L55" s="16"/>
      <c r="M55" s="127" t="s">
        <v>173</v>
      </c>
      <c r="N55" s="124">
        <v>0</v>
      </c>
      <c r="O55" s="149">
        <f>IF(E$6="Elsweyr",60000*Q55*(1-L$7)*(1-N55),30000*Q55*(1-L$7)*(1-N55))</f>
        <v>0</v>
      </c>
      <c r="P55" s="145">
        <f t="shared" si="7"/>
        <v>0</v>
      </c>
      <c r="Q55" s="146">
        <f t="shared" si="5"/>
        <v>0</v>
      </c>
    </row>
    <row r="56" spans="1:17" x14ac:dyDescent="0.25">
      <c r="A56" t="s">
        <v>35</v>
      </c>
      <c r="B56" s="116">
        <v>15</v>
      </c>
      <c r="C56" s="17"/>
      <c r="D56" s="17"/>
      <c r="E56" s="17"/>
      <c r="F56" s="17">
        <f>TRUNC(70*Q56*(1-L7)*(1-N56))</f>
        <v>0</v>
      </c>
      <c r="G56" s="17"/>
      <c r="H56" s="17">
        <f>TRUNC(100*Q56*(1-L7)*(1-N56))</f>
        <v>0</v>
      </c>
      <c r="I56" s="17"/>
      <c r="J56" s="17"/>
      <c r="K56" s="17"/>
      <c r="L56" s="18"/>
      <c r="M56" s="127" t="s">
        <v>173</v>
      </c>
      <c r="N56" s="124">
        <v>0</v>
      </c>
      <c r="O56" s="150">
        <f t="shared" ref="O56:O61" si="10">30000*Q56*(1-L$7)*(1-N56)</f>
        <v>0</v>
      </c>
      <c r="P56" s="145">
        <f t="shared" si="7"/>
        <v>0</v>
      </c>
      <c r="Q56" s="146">
        <f t="shared" si="5"/>
        <v>0</v>
      </c>
    </row>
    <row r="57" spans="1:17" x14ac:dyDescent="0.25">
      <c r="A57" t="s">
        <v>36</v>
      </c>
      <c r="B57" s="116">
        <v>15</v>
      </c>
      <c r="C57" s="17"/>
      <c r="D57" s="17"/>
      <c r="E57" s="17"/>
      <c r="F57" s="17"/>
      <c r="G57" s="17"/>
      <c r="H57" s="17"/>
      <c r="I57" s="17"/>
      <c r="J57" s="17">
        <f>TRUNC(170*Q57*(1-L7)*(1-N57))</f>
        <v>0</v>
      </c>
      <c r="K57" s="17"/>
      <c r="L57" s="18"/>
      <c r="M57" s="127" t="s">
        <v>173</v>
      </c>
      <c r="N57" s="124">
        <v>0</v>
      </c>
      <c r="O57" s="150">
        <f t="shared" si="10"/>
        <v>0</v>
      </c>
      <c r="P57" s="145">
        <f t="shared" si="7"/>
        <v>0</v>
      </c>
      <c r="Q57" s="146">
        <f t="shared" si="5"/>
        <v>0</v>
      </c>
    </row>
    <row r="58" spans="1:17" x14ac:dyDescent="0.25">
      <c r="A58" t="s">
        <v>37</v>
      </c>
      <c r="B58" s="116">
        <v>15</v>
      </c>
      <c r="C58" s="17"/>
      <c r="D58" s="17"/>
      <c r="E58" s="17"/>
      <c r="F58" s="17"/>
      <c r="G58" s="17"/>
      <c r="H58" s="17">
        <f>TRUNC(170*Q58*(1-L7)*(1-N58))</f>
        <v>0</v>
      </c>
      <c r="I58" s="17"/>
      <c r="J58" s="17"/>
      <c r="K58" s="17"/>
      <c r="L58" s="18"/>
      <c r="M58" s="127" t="s">
        <v>173</v>
      </c>
      <c r="N58" s="124">
        <v>0</v>
      </c>
      <c r="O58" s="150">
        <f t="shared" si="10"/>
        <v>0</v>
      </c>
      <c r="P58" s="145">
        <f t="shared" si="7"/>
        <v>0</v>
      </c>
      <c r="Q58" s="146">
        <f t="shared" si="5"/>
        <v>0</v>
      </c>
    </row>
    <row r="59" spans="1:17" x14ac:dyDescent="0.25">
      <c r="A59" t="s">
        <v>38</v>
      </c>
      <c r="B59" s="116">
        <v>15</v>
      </c>
      <c r="C59" s="17"/>
      <c r="D59" s="17"/>
      <c r="E59" s="17"/>
      <c r="F59" s="17">
        <f>TRUNC(130*Q59*(1-L7)*(1-N59))</f>
        <v>0</v>
      </c>
      <c r="G59" s="17"/>
      <c r="H59" s="17"/>
      <c r="I59" s="17"/>
      <c r="J59" s="17">
        <f>TRUNC(40*Q59*(1-L7)*(1-N59))</f>
        <v>0</v>
      </c>
      <c r="K59" s="17"/>
      <c r="L59" s="18"/>
      <c r="M59" s="127" t="s">
        <v>173</v>
      </c>
      <c r="N59" s="124">
        <v>0</v>
      </c>
      <c r="O59" s="150">
        <f t="shared" si="10"/>
        <v>0</v>
      </c>
      <c r="P59" s="145">
        <f t="shared" si="7"/>
        <v>0</v>
      </c>
      <c r="Q59" s="146">
        <f t="shared" si="5"/>
        <v>0</v>
      </c>
    </row>
    <row r="60" spans="1:17" x14ac:dyDescent="0.25">
      <c r="A60" t="s">
        <v>39</v>
      </c>
      <c r="B60" s="116">
        <v>15</v>
      </c>
      <c r="C60" s="17"/>
      <c r="D60" s="17"/>
      <c r="E60" s="17"/>
      <c r="F60" s="17"/>
      <c r="G60" s="17"/>
      <c r="H60" s="17"/>
      <c r="I60" s="17"/>
      <c r="J60" s="17">
        <f>TRUNC(60*Q60*(1-L7)*(1-N60))</f>
        <v>0</v>
      </c>
      <c r="K60" s="17"/>
      <c r="L60" s="18">
        <f>TRUNC(110*Q60*(1-L7)*(1-N60))</f>
        <v>0</v>
      </c>
      <c r="M60" s="127" t="s">
        <v>173</v>
      </c>
      <c r="N60" s="124">
        <v>0</v>
      </c>
      <c r="O60" s="150">
        <f t="shared" si="10"/>
        <v>0</v>
      </c>
      <c r="P60" s="145">
        <f t="shared" si="7"/>
        <v>0</v>
      </c>
      <c r="Q60" s="146">
        <f t="shared" si="5"/>
        <v>0</v>
      </c>
    </row>
    <row r="61" spans="1:17" ht="15.75" thickBot="1" x14ac:dyDescent="0.3">
      <c r="A61" t="s">
        <v>40</v>
      </c>
      <c r="B61" s="116">
        <v>15</v>
      </c>
      <c r="C61" s="17">
        <f>TRUNC(30*Q61*(1-L7)*(1-N61))</f>
        <v>0</v>
      </c>
      <c r="D61" s="17"/>
      <c r="E61" s="17">
        <f>TRUNC(60*Q61*(1-L7)*(1-N61))</f>
        <v>0</v>
      </c>
      <c r="F61" s="17"/>
      <c r="G61" s="17"/>
      <c r="H61" s="17"/>
      <c r="I61" s="17"/>
      <c r="J61" s="17">
        <f>TRUNC(80*Q61*(1-L7)*(1-N61))</f>
        <v>0</v>
      </c>
      <c r="K61" s="17"/>
      <c r="L61" s="18"/>
      <c r="M61" s="127" t="s">
        <v>173</v>
      </c>
      <c r="N61" s="124">
        <v>0</v>
      </c>
      <c r="O61" s="150">
        <f t="shared" si="10"/>
        <v>0</v>
      </c>
      <c r="P61" s="145">
        <f t="shared" si="7"/>
        <v>0</v>
      </c>
      <c r="Q61" s="146">
        <f t="shared" si="5"/>
        <v>0</v>
      </c>
    </row>
    <row r="62" spans="1:17" ht="15.75" thickBot="1" x14ac:dyDescent="0.3">
      <c r="A62" s="3" t="s">
        <v>41</v>
      </c>
      <c r="B62" s="117" t="s">
        <v>166</v>
      </c>
      <c r="C62" s="91" t="s">
        <v>8</v>
      </c>
      <c r="D62" s="92" t="s">
        <v>9</v>
      </c>
      <c r="E62" s="92" t="s">
        <v>10</v>
      </c>
      <c r="F62" s="92" t="s">
        <v>137</v>
      </c>
      <c r="G62" s="92" t="s">
        <v>11</v>
      </c>
      <c r="H62" s="92" t="s">
        <v>138</v>
      </c>
      <c r="I62" s="92" t="s">
        <v>139</v>
      </c>
      <c r="J62" s="92" t="s">
        <v>12</v>
      </c>
      <c r="K62" s="92" t="s">
        <v>13</v>
      </c>
      <c r="L62" s="93" t="s">
        <v>105</v>
      </c>
      <c r="M62" s="93"/>
      <c r="N62" s="93"/>
      <c r="O62" s="151"/>
      <c r="P62" s="147"/>
      <c r="Q62" s="148"/>
    </row>
    <row r="63" spans="1:17" x14ac:dyDescent="0.25">
      <c r="A63" t="s">
        <v>42</v>
      </c>
      <c r="B63" s="115">
        <v>15</v>
      </c>
      <c r="C63" s="15"/>
      <c r="D63" s="15">
        <f>TRUNC(60*Q63*(1-L7)*(1-N63))</f>
        <v>0</v>
      </c>
      <c r="E63" s="15"/>
      <c r="F63" s="15"/>
      <c r="G63" s="15"/>
      <c r="H63" s="15"/>
      <c r="I63" s="15"/>
      <c r="J63" s="15"/>
      <c r="K63" s="15"/>
      <c r="L63" s="16">
        <f>TRUNC(150*Q63*(1-L7)*(1-N63))</f>
        <v>0</v>
      </c>
      <c r="M63" s="127" t="s">
        <v>173</v>
      </c>
      <c r="N63" s="124">
        <v>0</v>
      </c>
      <c r="O63" s="149">
        <f>IF(E$6="Hauteroche",60000*Q63*(1-L$7)*(1-N63),30000*Q63*(1-L$7)*(1-N63))</f>
        <v>0</v>
      </c>
      <c r="P63" s="145">
        <f t="shared" si="7"/>
        <v>0</v>
      </c>
      <c r="Q63" s="146">
        <f t="shared" si="5"/>
        <v>0</v>
      </c>
    </row>
    <row r="64" spans="1:17" x14ac:dyDescent="0.25">
      <c r="A64" t="s">
        <v>43</v>
      </c>
      <c r="B64" s="116">
        <v>15</v>
      </c>
      <c r="C64" s="17"/>
      <c r="D64" s="17">
        <f>TRUNC(70*Q64*(1-L7)*(1-N64))</f>
        <v>0</v>
      </c>
      <c r="E64" s="17"/>
      <c r="F64" s="17"/>
      <c r="G64" s="17"/>
      <c r="H64" s="17"/>
      <c r="I64" s="17"/>
      <c r="J64" s="17"/>
      <c r="K64" s="17"/>
      <c r="L64" s="18">
        <f>TRUNC(100*Q64*(1-L7)*(1-N64))</f>
        <v>0</v>
      </c>
      <c r="M64" s="127" t="s">
        <v>173</v>
      </c>
      <c r="N64" s="124">
        <v>0</v>
      </c>
      <c r="O64" s="150">
        <f t="shared" ref="O64:O70" si="11">30000*Q64*(1-L$7)*(1-N64)</f>
        <v>0</v>
      </c>
      <c r="P64" s="145">
        <f t="shared" si="7"/>
        <v>0</v>
      </c>
      <c r="Q64" s="146">
        <f t="shared" si="5"/>
        <v>0</v>
      </c>
    </row>
    <row r="65" spans="1:17" x14ac:dyDescent="0.25">
      <c r="A65" t="s">
        <v>44</v>
      </c>
      <c r="B65" s="116">
        <v>15</v>
      </c>
      <c r="C65" s="17"/>
      <c r="D65" s="17">
        <f>TRUNC(80*Q65*(1-L7)*(1-N65))</f>
        <v>0</v>
      </c>
      <c r="E65" s="17">
        <f>TRUNC(20*Q65*(1-L7)*(1-N65))</f>
        <v>0</v>
      </c>
      <c r="F65" s="17"/>
      <c r="G65" s="17"/>
      <c r="H65" s="17"/>
      <c r="I65" s="17"/>
      <c r="J65" s="17"/>
      <c r="K65" s="17">
        <f>TRUNC(70*Q65*(1-L7)*(1-N65))</f>
        <v>0</v>
      </c>
      <c r="L65" s="18"/>
      <c r="M65" s="127" t="s">
        <v>173</v>
      </c>
      <c r="N65" s="124">
        <v>0</v>
      </c>
      <c r="O65" s="150">
        <f t="shared" si="11"/>
        <v>0</v>
      </c>
      <c r="P65" s="145">
        <f t="shared" si="7"/>
        <v>0</v>
      </c>
      <c r="Q65" s="146">
        <f t="shared" si="5"/>
        <v>0</v>
      </c>
    </row>
    <row r="66" spans="1:17" x14ac:dyDescent="0.25">
      <c r="A66" t="s">
        <v>45</v>
      </c>
      <c r="B66" s="116">
        <v>15</v>
      </c>
      <c r="C66" s="17">
        <f>TRUNC(100*Q66*(1-L7)*(1-N66))</f>
        <v>0</v>
      </c>
      <c r="D66" s="17">
        <f>TRUNC(70*Q66*(1-L7)*(1-N66))</f>
        <v>0</v>
      </c>
      <c r="E66" s="17"/>
      <c r="F66" s="17"/>
      <c r="G66" s="17"/>
      <c r="H66" s="17"/>
      <c r="I66" s="17"/>
      <c r="J66" s="17"/>
      <c r="K66" s="17"/>
      <c r="L66" s="18"/>
      <c r="M66" s="127" t="s">
        <v>173</v>
      </c>
      <c r="N66" s="124">
        <v>0</v>
      </c>
      <c r="O66" s="150">
        <f t="shared" si="11"/>
        <v>0</v>
      </c>
      <c r="P66" s="145">
        <f t="shared" si="7"/>
        <v>0</v>
      </c>
      <c r="Q66" s="146">
        <f t="shared" si="5"/>
        <v>0</v>
      </c>
    </row>
    <row r="67" spans="1:17" x14ac:dyDescent="0.25">
      <c r="A67" t="s">
        <v>46</v>
      </c>
      <c r="B67" s="116">
        <v>15</v>
      </c>
      <c r="C67" s="17">
        <f>TRUNC(120*Q67*(1-L7)*(1-N67))</f>
        <v>0</v>
      </c>
      <c r="D67" s="17">
        <f>TRUNC(50*Q67*(1-L7)*(1-N67))</f>
        <v>0</v>
      </c>
      <c r="E67" s="17"/>
      <c r="F67" s="17"/>
      <c r="G67" s="17"/>
      <c r="H67" s="17"/>
      <c r="I67" s="17"/>
      <c r="J67" s="17"/>
      <c r="K67" s="17"/>
      <c r="L67" s="18"/>
      <c r="M67" s="127" t="s">
        <v>173</v>
      </c>
      <c r="N67" s="124">
        <v>0</v>
      </c>
      <c r="O67" s="150">
        <f t="shared" si="11"/>
        <v>0</v>
      </c>
      <c r="P67" s="145">
        <f t="shared" si="7"/>
        <v>0</v>
      </c>
      <c r="Q67" s="146">
        <f t="shared" si="5"/>
        <v>0</v>
      </c>
    </row>
    <row r="68" spans="1:17" x14ac:dyDescent="0.25">
      <c r="A68" t="s">
        <v>47</v>
      </c>
      <c r="B68" s="116">
        <v>15</v>
      </c>
      <c r="C68" s="17"/>
      <c r="D68" s="17"/>
      <c r="E68" s="17"/>
      <c r="F68" s="17"/>
      <c r="G68" s="17">
        <f>TRUNC(100*Q68*(1-L7)*(1-N68))</f>
        <v>0</v>
      </c>
      <c r="H68" s="17"/>
      <c r="I68" s="17"/>
      <c r="J68" s="17"/>
      <c r="K68" s="17"/>
      <c r="L68" s="18">
        <f>TRUNC(70*Q68*(1-L7)*(1-N68))</f>
        <v>0</v>
      </c>
      <c r="M68" s="127" t="s">
        <v>173</v>
      </c>
      <c r="N68" s="124">
        <v>0</v>
      </c>
      <c r="O68" s="150">
        <f t="shared" si="11"/>
        <v>0</v>
      </c>
      <c r="P68" s="145">
        <f t="shared" si="7"/>
        <v>0</v>
      </c>
      <c r="Q68" s="146">
        <f t="shared" si="5"/>
        <v>0</v>
      </c>
    </row>
    <row r="69" spans="1:17" x14ac:dyDescent="0.25">
      <c r="A69" t="s">
        <v>48</v>
      </c>
      <c r="B69" s="116">
        <v>15</v>
      </c>
      <c r="C69" s="17"/>
      <c r="D69" s="17">
        <f>TRUNC(90*Q69*(1-L7)*(1-N69))</f>
        <v>0</v>
      </c>
      <c r="E69" s="17"/>
      <c r="F69" s="17"/>
      <c r="G69" s="17"/>
      <c r="H69" s="17">
        <f>TRUNC(80*Q69*(1-L7)*(1-N69))</f>
        <v>0</v>
      </c>
      <c r="I69" s="17"/>
      <c r="J69" s="17"/>
      <c r="K69" s="17"/>
      <c r="L69" s="18"/>
      <c r="M69" s="127" t="s">
        <v>173</v>
      </c>
      <c r="N69" s="124">
        <v>0</v>
      </c>
      <c r="O69" s="150">
        <f t="shared" si="11"/>
        <v>0</v>
      </c>
      <c r="P69" s="145">
        <f t="shared" si="7"/>
        <v>0</v>
      </c>
      <c r="Q69" s="146">
        <f t="shared" si="5"/>
        <v>0</v>
      </c>
    </row>
    <row r="70" spans="1:17" ht="15.75" thickBot="1" x14ac:dyDescent="0.3">
      <c r="A70" t="s">
        <v>104</v>
      </c>
      <c r="B70" s="116">
        <v>15</v>
      </c>
      <c r="C70" s="17"/>
      <c r="D70" s="17"/>
      <c r="E70" s="17"/>
      <c r="F70" s="17"/>
      <c r="G70" s="17">
        <f>TRUNC(70*Q70*(1-L7)*(1-N70))</f>
        <v>0</v>
      </c>
      <c r="H70" s="17">
        <f>TRUNC(100*Q70*(1-L7)*(1-N70))</f>
        <v>0</v>
      </c>
      <c r="I70" s="17"/>
      <c r="J70" s="17"/>
      <c r="K70" s="17"/>
      <c r="L70" s="18"/>
      <c r="M70" s="127" t="s">
        <v>173</v>
      </c>
      <c r="N70" s="124">
        <v>0</v>
      </c>
      <c r="O70" s="150">
        <f t="shared" si="11"/>
        <v>0</v>
      </c>
      <c r="P70" s="145">
        <f t="shared" si="7"/>
        <v>0</v>
      </c>
      <c r="Q70" s="146">
        <f t="shared" si="5"/>
        <v>0</v>
      </c>
    </row>
    <row r="71" spans="1:17" ht="15.75" thickBot="1" x14ac:dyDescent="0.3">
      <c r="A71" s="3" t="s">
        <v>49</v>
      </c>
      <c r="B71" s="117" t="s">
        <v>166</v>
      </c>
      <c r="C71" s="91" t="s">
        <v>8</v>
      </c>
      <c r="D71" s="92" t="s">
        <v>9</v>
      </c>
      <c r="E71" s="92" t="s">
        <v>10</v>
      </c>
      <c r="F71" s="92" t="s">
        <v>137</v>
      </c>
      <c r="G71" s="92" t="s">
        <v>11</v>
      </c>
      <c r="H71" s="92" t="s">
        <v>138</v>
      </c>
      <c r="I71" s="92" t="s">
        <v>139</v>
      </c>
      <c r="J71" s="92" t="s">
        <v>12</v>
      </c>
      <c r="K71" s="92" t="s">
        <v>13</v>
      </c>
      <c r="L71" s="93" t="s">
        <v>105</v>
      </c>
      <c r="M71" s="93"/>
      <c r="N71" s="93"/>
      <c r="O71" s="151"/>
      <c r="P71" s="147"/>
      <c r="Q71" s="148"/>
    </row>
    <row r="72" spans="1:17" x14ac:dyDescent="0.25">
      <c r="A72" t="s">
        <v>50</v>
      </c>
      <c r="B72" s="115">
        <v>15</v>
      </c>
      <c r="C72" s="15"/>
      <c r="D72" s="15"/>
      <c r="E72" s="15"/>
      <c r="F72" s="15">
        <f>TRUNC(110*Q72*(1-L7)*(1-N72))</f>
        <v>0</v>
      </c>
      <c r="G72" s="15"/>
      <c r="H72" s="15"/>
      <c r="I72" s="15">
        <f>TRUNC(100*Q72*(1-L7)*(1-N72))</f>
        <v>0</v>
      </c>
      <c r="J72" s="15"/>
      <c r="K72" s="15"/>
      <c r="L72" s="16"/>
      <c r="M72" s="127" t="s">
        <v>173</v>
      </c>
      <c r="N72" s="124">
        <v>0</v>
      </c>
      <c r="O72" s="149">
        <f>IF(E$6="Lenclume",60000*Q72*(1-L$7)*(1-N72),30000*Q72*(1-L$7)*(1-N72))</f>
        <v>0</v>
      </c>
      <c r="P72" s="145">
        <f t="shared" si="7"/>
        <v>0</v>
      </c>
      <c r="Q72" s="146">
        <f t="shared" si="5"/>
        <v>0</v>
      </c>
    </row>
    <row r="73" spans="1:17" x14ac:dyDescent="0.25">
      <c r="A73" t="s">
        <v>51</v>
      </c>
      <c r="B73" s="116">
        <v>15</v>
      </c>
      <c r="C73" s="17"/>
      <c r="D73" s="17"/>
      <c r="E73" s="17"/>
      <c r="F73" s="17"/>
      <c r="G73" s="17">
        <f>TRUNC(60*Q73*(1-L7)*(1-N73))</f>
        <v>0</v>
      </c>
      <c r="H73" s="17"/>
      <c r="I73" s="17"/>
      <c r="J73" s="17">
        <f>TRUNC(110*Q73*(1-L7)*(1-N73))</f>
        <v>0</v>
      </c>
      <c r="K73" s="17"/>
      <c r="L73" s="18"/>
      <c r="M73" s="127" t="s">
        <v>173</v>
      </c>
      <c r="N73" s="124">
        <v>0</v>
      </c>
      <c r="O73" s="150">
        <f t="shared" ref="O73:O79" si="12">30000*Q73*(1-L$7)*(1-N73)</f>
        <v>0</v>
      </c>
      <c r="P73" s="145">
        <f t="shared" si="7"/>
        <v>0</v>
      </c>
      <c r="Q73" s="146">
        <f t="shared" si="5"/>
        <v>0</v>
      </c>
    </row>
    <row r="74" spans="1:17" x14ac:dyDescent="0.25">
      <c r="A74" t="s">
        <v>52</v>
      </c>
      <c r="B74" s="116">
        <v>15</v>
      </c>
      <c r="C74" s="17"/>
      <c r="D74" s="17"/>
      <c r="E74" s="17"/>
      <c r="F74" s="17">
        <f>TRUNC(120*Q74*(1-L7)*(1-N74))</f>
        <v>0</v>
      </c>
      <c r="G74" s="17"/>
      <c r="H74" s="17"/>
      <c r="I74" s="17"/>
      <c r="J74" s="17">
        <f>TRUNC(50*Q74*(1-L7)*(1-N74))</f>
        <v>0</v>
      </c>
      <c r="K74" s="17"/>
      <c r="L74" s="18"/>
      <c r="M74" s="127" t="s">
        <v>173</v>
      </c>
      <c r="N74" s="124">
        <v>0</v>
      </c>
      <c r="O74" s="150">
        <f t="shared" si="12"/>
        <v>0</v>
      </c>
      <c r="P74" s="145">
        <f t="shared" si="7"/>
        <v>0</v>
      </c>
      <c r="Q74" s="146">
        <f t="shared" si="5"/>
        <v>0</v>
      </c>
    </row>
    <row r="75" spans="1:17" x14ac:dyDescent="0.25">
      <c r="A75" t="s">
        <v>53</v>
      </c>
      <c r="B75" s="116">
        <v>15</v>
      </c>
      <c r="C75" s="17"/>
      <c r="D75" s="17"/>
      <c r="E75" s="17"/>
      <c r="F75" s="17">
        <f>TRUNC(170*Q75*(1-L7)*(1-N75))</f>
        <v>0</v>
      </c>
      <c r="G75" s="17"/>
      <c r="H75" s="17"/>
      <c r="I75" s="17"/>
      <c r="J75" s="17"/>
      <c r="K75" s="17"/>
      <c r="L75" s="18"/>
      <c r="M75" s="127" t="s">
        <v>173</v>
      </c>
      <c r="N75" s="124">
        <v>0</v>
      </c>
      <c r="O75" s="150">
        <f t="shared" si="12"/>
        <v>0</v>
      </c>
      <c r="P75" s="145">
        <f t="shared" si="7"/>
        <v>0</v>
      </c>
      <c r="Q75" s="146">
        <f t="shared" si="5"/>
        <v>0</v>
      </c>
    </row>
    <row r="76" spans="1:17" x14ac:dyDescent="0.25">
      <c r="A76" t="s">
        <v>54</v>
      </c>
      <c r="B76" s="116">
        <v>15</v>
      </c>
      <c r="C76" s="17"/>
      <c r="D76" s="17"/>
      <c r="E76" s="17"/>
      <c r="F76" s="17"/>
      <c r="G76" s="17"/>
      <c r="H76" s="17"/>
      <c r="I76" s="17"/>
      <c r="J76" s="17">
        <f>TRUNC(170*Q76*(1-L7)*(1-N76))</f>
        <v>0</v>
      </c>
      <c r="K76" s="17"/>
      <c r="L76" s="18"/>
      <c r="M76" s="127" t="s">
        <v>173</v>
      </c>
      <c r="N76" s="124">
        <v>0</v>
      </c>
      <c r="O76" s="150">
        <f t="shared" si="12"/>
        <v>0</v>
      </c>
      <c r="P76" s="145">
        <f t="shared" si="7"/>
        <v>0</v>
      </c>
      <c r="Q76" s="146">
        <f t="shared" si="5"/>
        <v>0</v>
      </c>
    </row>
    <row r="77" spans="1:17" x14ac:dyDescent="0.25">
      <c r="A77" t="s">
        <v>55</v>
      </c>
      <c r="B77" s="116">
        <v>15</v>
      </c>
      <c r="C77" s="17"/>
      <c r="D77" s="17"/>
      <c r="E77" s="17">
        <f>TRUNC(120*Q77*(1-L7)*(1-N77))</f>
        <v>0</v>
      </c>
      <c r="F77" s="17"/>
      <c r="G77" s="17"/>
      <c r="H77" s="17"/>
      <c r="I77" s="17"/>
      <c r="J77" s="17"/>
      <c r="K77" s="17">
        <f>TRUNC(50*Q77*(1-L7)*(1-N77))</f>
        <v>0</v>
      </c>
      <c r="L77" s="18"/>
      <c r="M77" s="127" t="s">
        <v>173</v>
      </c>
      <c r="N77" s="124">
        <v>0</v>
      </c>
      <c r="O77" s="150">
        <f t="shared" si="12"/>
        <v>0</v>
      </c>
      <c r="P77" s="145">
        <f t="shared" si="7"/>
        <v>0</v>
      </c>
      <c r="Q77" s="146">
        <f t="shared" si="5"/>
        <v>0</v>
      </c>
    </row>
    <row r="78" spans="1:17" x14ac:dyDescent="0.25">
      <c r="A78" t="s">
        <v>56</v>
      </c>
      <c r="B78" s="116">
        <v>15</v>
      </c>
      <c r="C78" s="17"/>
      <c r="D78" s="17"/>
      <c r="E78" s="17">
        <f>TRUNC(120*Q78*(1-L7)*(1-N78))</f>
        <v>0</v>
      </c>
      <c r="F78" s="17"/>
      <c r="G78" s="17"/>
      <c r="H78" s="17"/>
      <c r="I78" s="17">
        <f>TRUNC(50*Q78*(1-L7)*(1-N78))</f>
        <v>0</v>
      </c>
      <c r="J78" s="17"/>
      <c r="K78" s="17"/>
      <c r="L78" s="18"/>
      <c r="M78" s="127" t="s">
        <v>173</v>
      </c>
      <c r="N78" s="124">
        <v>0</v>
      </c>
      <c r="O78" s="150">
        <f t="shared" si="12"/>
        <v>0</v>
      </c>
      <c r="P78" s="145">
        <f t="shared" si="7"/>
        <v>0</v>
      </c>
      <c r="Q78" s="146">
        <f t="shared" si="5"/>
        <v>0</v>
      </c>
    </row>
    <row r="79" spans="1:17" ht="15.75" thickBot="1" x14ac:dyDescent="0.3">
      <c r="A79" t="s">
        <v>57</v>
      </c>
      <c r="B79" s="116">
        <v>15</v>
      </c>
      <c r="C79" s="17"/>
      <c r="D79" s="17"/>
      <c r="E79" s="17"/>
      <c r="F79" s="17">
        <f>TRUNC(30*Q79*(1-L7)*(1-N79))</f>
        <v>0</v>
      </c>
      <c r="G79" s="17">
        <f>TRUNC(40*Q79*(1-L7)*(1-N79))</f>
        <v>0</v>
      </c>
      <c r="H79" s="17"/>
      <c r="I79" s="17"/>
      <c r="J79" s="17"/>
      <c r="K79" s="17">
        <f>TRUNC(100*Q79*(1-L7)*(1-N79))</f>
        <v>0</v>
      </c>
      <c r="L79" s="18"/>
      <c r="M79" s="127" t="s">
        <v>173</v>
      </c>
      <c r="N79" s="124">
        <v>0</v>
      </c>
      <c r="O79" s="150">
        <f t="shared" si="12"/>
        <v>0</v>
      </c>
      <c r="P79" s="145">
        <f t="shared" si="7"/>
        <v>0</v>
      </c>
      <c r="Q79" s="146">
        <f t="shared" si="5"/>
        <v>0</v>
      </c>
    </row>
    <row r="80" spans="1:17" ht="15.75" thickBot="1" x14ac:dyDescent="0.3">
      <c r="A80" s="3" t="s">
        <v>59</v>
      </c>
      <c r="B80" s="117" t="s">
        <v>166</v>
      </c>
      <c r="C80" s="91" t="s">
        <v>8</v>
      </c>
      <c r="D80" s="92" t="s">
        <v>9</v>
      </c>
      <c r="E80" s="92" t="s">
        <v>10</v>
      </c>
      <c r="F80" s="92" t="s">
        <v>137</v>
      </c>
      <c r="G80" s="92" t="s">
        <v>11</v>
      </c>
      <c r="H80" s="92" t="s">
        <v>138</v>
      </c>
      <c r="I80" s="92" t="s">
        <v>139</v>
      </c>
      <c r="J80" s="92" t="s">
        <v>12</v>
      </c>
      <c r="K80" s="92" t="s">
        <v>13</v>
      </c>
      <c r="L80" s="93" t="s">
        <v>105</v>
      </c>
      <c r="M80" s="93"/>
      <c r="N80" s="93"/>
      <c r="O80" s="151"/>
      <c r="P80" s="147"/>
      <c r="Q80" s="148"/>
    </row>
    <row r="81" spans="1:17" x14ac:dyDescent="0.25">
      <c r="A81" t="s">
        <v>60</v>
      </c>
      <c r="B81" s="115">
        <v>15</v>
      </c>
      <c r="C81" s="15"/>
      <c r="D81" s="15"/>
      <c r="E81" s="15"/>
      <c r="F81" s="15">
        <f>TRUNC(40*Q81*(1-L7)*(1-N81))</f>
        <v>0</v>
      </c>
      <c r="G81" s="15"/>
      <c r="H81" s="15">
        <f>TRUNC(120*Q81*(1-L7)*(1-N81))</f>
        <v>0</v>
      </c>
      <c r="I81" s="15">
        <f>TRUNC(TRUNC(20*Q81*(1-L7)*(1-N81)))</f>
        <v>0</v>
      </c>
      <c r="J81" s="15"/>
      <c r="K81" s="15"/>
      <c r="L81" s="16">
        <f>TRUNC(20*Q81*(1-L7)*(1-N81))</f>
        <v>0</v>
      </c>
      <c r="M81" s="127" t="s">
        <v>173</v>
      </c>
      <c r="N81" s="124">
        <v>0</v>
      </c>
      <c r="O81" s="149">
        <f>IF(E$6="Marais Noir",60000*Q81*(1-L$7)*(1-N81),30000*Q81*(1-L$7)*(1-N81))</f>
        <v>0</v>
      </c>
      <c r="P81" s="145">
        <f t="shared" si="7"/>
        <v>0</v>
      </c>
      <c r="Q81" s="146">
        <f t="shared" si="5"/>
        <v>0</v>
      </c>
    </row>
    <row r="82" spans="1:17" x14ac:dyDescent="0.25">
      <c r="A82" t="s">
        <v>61</v>
      </c>
      <c r="B82" s="116">
        <v>15</v>
      </c>
      <c r="C82" s="17">
        <f>TRUNC(30*Q82*(1-L7)*(1-N82))</f>
        <v>0</v>
      </c>
      <c r="D82" s="17"/>
      <c r="E82" s="17"/>
      <c r="F82" s="17"/>
      <c r="G82" s="17"/>
      <c r="H82" s="17"/>
      <c r="I82" s="17"/>
      <c r="J82" s="17">
        <f>TRUNC(140*Q82*(1-L7)*(1-N82))</f>
        <v>0</v>
      </c>
      <c r="K82" s="17"/>
      <c r="L82" s="18"/>
      <c r="M82" s="127" t="s">
        <v>173</v>
      </c>
      <c r="N82" s="124">
        <v>0</v>
      </c>
      <c r="O82" s="150">
        <f t="shared" ref="O82:O88" si="13">30000*Q82*(1-L$7)*(1-N82)</f>
        <v>0</v>
      </c>
      <c r="P82" s="145">
        <f t="shared" si="7"/>
        <v>0</v>
      </c>
      <c r="Q82" s="146">
        <f t="shared" si="5"/>
        <v>0</v>
      </c>
    </row>
    <row r="83" spans="1:17" x14ac:dyDescent="0.25">
      <c r="A83" t="s">
        <v>62</v>
      </c>
      <c r="B83" s="116">
        <v>15</v>
      </c>
      <c r="C83" s="17"/>
      <c r="D83" s="17"/>
      <c r="E83" s="17"/>
      <c r="F83" s="17">
        <f>TRUNC(170*Q83*(1-L7)*(1-N83))</f>
        <v>0</v>
      </c>
      <c r="G83" s="17"/>
      <c r="H83" s="17"/>
      <c r="I83" s="17"/>
      <c r="J83" s="17"/>
      <c r="K83" s="17"/>
      <c r="L83" s="18"/>
      <c r="M83" s="127" t="s">
        <v>173</v>
      </c>
      <c r="N83" s="124">
        <v>0</v>
      </c>
      <c r="O83" s="150">
        <f t="shared" si="13"/>
        <v>0</v>
      </c>
      <c r="P83" s="145">
        <f t="shared" si="7"/>
        <v>0</v>
      </c>
      <c r="Q83" s="146">
        <f t="shared" si="5"/>
        <v>0</v>
      </c>
    </row>
    <row r="84" spans="1:17" x14ac:dyDescent="0.25">
      <c r="A84" t="s">
        <v>63</v>
      </c>
      <c r="B84" s="116">
        <v>15</v>
      </c>
      <c r="C84" s="17"/>
      <c r="D84" s="17">
        <f>TRUNC(50*Q84*(1-L7)*(1-N84))</f>
        <v>0</v>
      </c>
      <c r="E84" s="17"/>
      <c r="F84" s="17">
        <f>TRUNC(100*Q84*(1-L7)*(1-N84))</f>
        <v>0</v>
      </c>
      <c r="G84" s="17"/>
      <c r="H84" s="17">
        <f>TRUNC(20*Q84*(1-L7)*(1-N84))</f>
        <v>0</v>
      </c>
      <c r="I84" s="17"/>
      <c r="J84" s="17"/>
      <c r="K84" s="17"/>
      <c r="L84" s="18"/>
      <c r="M84" s="127" t="s">
        <v>173</v>
      </c>
      <c r="N84" s="124">
        <v>0</v>
      </c>
      <c r="O84" s="150">
        <f t="shared" si="13"/>
        <v>0</v>
      </c>
      <c r="P84" s="145">
        <f t="shared" si="7"/>
        <v>0</v>
      </c>
      <c r="Q84" s="146">
        <f t="shared" si="5"/>
        <v>0</v>
      </c>
    </row>
    <row r="85" spans="1:17" x14ac:dyDescent="0.25">
      <c r="A85" t="s">
        <v>64</v>
      </c>
      <c r="B85" s="116">
        <v>15</v>
      </c>
      <c r="C85" s="17"/>
      <c r="D85" s="17"/>
      <c r="E85" s="17"/>
      <c r="F85" s="17">
        <f>TRUNC(40*Q85*(1-L7)*(1-N85))</f>
        <v>0</v>
      </c>
      <c r="G85" s="17"/>
      <c r="H85" s="17"/>
      <c r="I85" s="17"/>
      <c r="J85" s="17"/>
      <c r="K85" s="17"/>
      <c r="L85" s="18">
        <f>TRUNC(130*Q85*(1-L7)*(1-N85))</f>
        <v>0</v>
      </c>
      <c r="M85" s="127" t="s">
        <v>173</v>
      </c>
      <c r="N85" s="124">
        <v>0</v>
      </c>
      <c r="O85" s="150">
        <f t="shared" si="13"/>
        <v>0</v>
      </c>
      <c r="P85" s="145">
        <f t="shared" si="7"/>
        <v>0</v>
      </c>
      <c r="Q85" s="146">
        <f t="shared" si="5"/>
        <v>0</v>
      </c>
    </row>
    <row r="86" spans="1:17" x14ac:dyDescent="0.25">
      <c r="A86" t="s">
        <v>65</v>
      </c>
      <c r="B86" s="116">
        <v>15</v>
      </c>
      <c r="C86" s="17"/>
      <c r="D86" s="17"/>
      <c r="E86" s="17"/>
      <c r="F86" s="17"/>
      <c r="G86" s="17"/>
      <c r="H86" s="17">
        <f>TRUNC(170*Q86*(1-L7)*(1-N86))</f>
        <v>0</v>
      </c>
      <c r="I86" s="17"/>
      <c r="J86" s="17"/>
      <c r="K86" s="17"/>
      <c r="L86" s="18"/>
      <c r="M86" s="127" t="s">
        <v>173</v>
      </c>
      <c r="N86" s="124">
        <v>0</v>
      </c>
      <c r="O86" s="150">
        <f t="shared" si="13"/>
        <v>0</v>
      </c>
      <c r="P86" s="145">
        <f t="shared" si="7"/>
        <v>0</v>
      </c>
      <c r="Q86" s="146">
        <f t="shared" si="5"/>
        <v>0</v>
      </c>
    </row>
    <row r="87" spans="1:17" x14ac:dyDescent="0.25">
      <c r="A87" t="s">
        <v>66</v>
      </c>
      <c r="B87" s="116">
        <v>15</v>
      </c>
      <c r="C87" s="17"/>
      <c r="D87" s="17"/>
      <c r="E87" s="17"/>
      <c r="F87" s="17"/>
      <c r="G87" s="17"/>
      <c r="H87" s="17">
        <f>TRUNC(40*Q87*(1-L7)*(1-N87))</f>
        <v>0</v>
      </c>
      <c r="I87" s="17">
        <f>TRUNC(130*Q87*(1-L7)*(1-N87))</f>
        <v>0</v>
      </c>
      <c r="J87" s="17"/>
      <c r="K87" s="17"/>
      <c r="L87" s="18"/>
      <c r="M87" s="127" t="s">
        <v>173</v>
      </c>
      <c r="N87" s="124">
        <v>0</v>
      </c>
      <c r="O87" s="150">
        <f t="shared" si="13"/>
        <v>0</v>
      </c>
      <c r="P87" s="145">
        <f t="shared" si="7"/>
        <v>0</v>
      </c>
      <c r="Q87" s="146">
        <f t="shared" si="5"/>
        <v>0</v>
      </c>
    </row>
    <row r="88" spans="1:17" ht="15.75" thickBot="1" x14ac:dyDescent="0.3">
      <c r="A88" t="s">
        <v>67</v>
      </c>
      <c r="B88" s="116">
        <v>15</v>
      </c>
      <c r="C88" s="17"/>
      <c r="D88" s="17"/>
      <c r="E88" s="17"/>
      <c r="F88" s="17"/>
      <c r="G88" s="17"/>
      <c r="H88" s="17">
        <f>TRUNC(100*Q88*(1-L7)*(1-N88))</f>
        <v>0</v>
      </c>
      <c r="I88" s="17">
        <f>TRUNC(70*Q88*(1-L7)*(1-N88))</f>
        <v>0</v>
      </c>
      <c r="J88" s="17"/>
      <c r="K88" s="17"/>
      <c r="L88" s="18"/>
      <c r="M88" s="127" t="s">
        <v>173</v>
      </c>
      <c r="N88" s="124">
        <v>0</v>
      </c>
      <c r="O88" s="150">
        <f t="shared" si="13"/>
        <v>0</v>
      </c>
      <c r="P88" s="145">
        <f t="shared" si="7"/>
        <v>0</v>
      </c>
      <c r="Q88" s="146">
        <f t="shared" si="5"/>
        <v>0</v>
      </c>
    </row>
    <row r="89" spans="1:17" ht="15.75" thickBot="1" x14ac:dyDescent="0.3">
      <c r="A89" s="3" t="s">
        <v>68</v>
      </c>
      <c r="B89" s="117" t="s">
        <v>166</v>
      </c>
      <c r="C89" s="91" t="s">
        <v>8</v>
      </c>
      <c r="D89" s="92" t="s">
        <v>9</v>
      </c>
      <c r="E89" s="92" t="s">
        <v>10</v>
      </c>
      <c r="F89" s="92" t="s">
        <v>137</v>
      </c>
      <c r="G89" s="92" t="s">
        <v>11</v>
      </c>
      <c r="H89" s="92" t="s">
        <v>138</v>
      </c>
      <c r="I89" s="92" t="s">
        <v>139</v>
      </c>
      <c r="J89" s="92" t="s">
        <v>12</v>
      </c>
      <c r="K89" s="92" t="s">
        <v>13</v>
      </c>
      <c r="L89" s="93" t="s">
        <v>105</v>
      </c>
      <c r="M89" s="93"/>
      <c r="N89" s="93"/>
      <c r="O89" s="151"/>
      <c r="P89" s="147"/>
      <c r="Q89" s="148"/>
    </row>
    <row r="90" spans="1:17" x14ac:dyDescent="0.25">
      <c r="A90" t="s">
        <v>69</v>
      </c>
      <c r="B90" s="115">
        <v>15</v>
      </c>
      <c r="C90" s="15"/>
      <c r="D90" s="15"/>
      <c r="E90" s="15">
        <f>TRUNC(20*Q90*(1-L7)*(1-N90))</f>
        <v>0</v>
      </c>
      <c r="F90" s="15"/>
      <c r="G90" s="15">
        <f>TRUNC(20*Q90*(1-L7)*(1-N90))</f>
        <v>0</v>
      </c>
      <c r="H90" s="15">
        <f>TRUNC(90*Q90*(1-L7)*(1-N90))</f>
        <v>0</v>
      </c>
      <c r="I90" s="15"/>
      <c r="J90" s="15">
        <f>TRUNC(20*Q90*(1-L7)*(1-N90))</f>
        <v>0</v>
      </c>
      <c r="K90" s="15"/>
      <c r="L90" s="16">
        <f>TRUNC(60*Q90*(1-L7)*(1-N90))</f>
        <v>0</v>
      </c>
      <c r="M90" s="127" t="s">
        <v>173</v>
      </c>
      <c r="N90" s="124">
        <v>0</v>
      </c>
      <c r="O90" s="149">
        <f>IF(E$6="Morrowind",60000*Q90*(1-L$7)*(1-N90),30000*Q90*(1-L$7)*(1-N90))</f>
        <v>0</v>
      </c>
      <c r="P90" s="145">
        <f t="shared" si="7"/>
        <v>0</v>
      </c>
      <c r="Q90" s="146">
        <f t="shared" si="5"/>
        <v>0</v>
      </c>
    </row>
    <row r="91" spans="1:17" x14ac:dyDescent="0.25">
      <c r="A91" t="s">
        <v>70</v>
      </c>
      <c r="B91" s="116">
        <v>15</v>
      </c>
      <c r="C91" s="17"/>
      <c r="D91" s="17"/>
      <c r="E91" s="17"/>
      <c r="F91" s="17"/>
      <c r="G91" s="17">
        <f>TRUNC(170*Q91*(1-L7)*(1-N91))</f>
        <v>0</v>
      </c>
      <c r="H91" s="17"/>
      <c r="I91" s="17"/>
      <c r="J91" s="17"/>
      <c r="K91" s="17"/>
      <c r="L91" s="18"/>
      <c r="M91" s="127" t="s">
        <v>173</v>
      </c>
      <c r="N91" s="124">
        <v>0</v>
      </c>
      <c r="O91" s="150">
        <f t="shared" ref="O91:O97" si="14">30000*Q91*(1-L$7)*(1-N91)</f>
        <v>0</v>
      </c>
      <c r="P91" s="145">
        <f t="shared" si="7"/>
        <v>0</v>
      </c>
      <c r="Q91" s="146">
        <f t="shared" si="5"/>
        <v>0</v>
      </c>
    </row>
    <row r="92" spans="1:17" x14ac:dyDescent="0.25">
      <c r="A92" t="s">
        <v>71</v>
      </c>
      <c r="B92" s="116">
        <v>15</v>
      </c>
      <c r="C92" s="17">
        <f>TRUNC(70*Q92*(1-L7)*(1-N92))</f>
        <v>0</v>
      </c>
      <c r="D92" s="17"/>
      <c r="E92" s="17"/>
      <c r="F92" s="17"/>
      <c r="G92" s="17"/>
      <c r="H92" s="17"/>
      <c r="I92" s="17"/>
      <c r="J92" s="17"/>
      <c r="K92" s="17"/>
      <c r="L92" s="18">
        <f>TRUNC(100*Q92*(1-L7)*(1-N92))</f>
        <v>0</v>
      </c>
      <c r="M92" s="127" t="s">
        <v>173</v>
      </c>
      <c r="N92" s="124">
        <v>0</v>
      </c>
      <c r="O92" s="150">
        <f t="shared" si="14"/>
        <v>0</v>
      </c>
      <c r="P92" s="145">
        <f t="shared" si="7"/>
        <v>0</v>
      </c>
      <c r="Q92" s="146">
        <f t="shared" ref="Q92:Q111" si="15">IF(M92="Possédée",1,IF(M92="Assiégée",0.5,0))</f>
        <v>0</v>
      </c>
    </row>
    <row r="93" spans="1:17" x14ac:dyDescent="0.25">
      <c r="A93" t="s">
        <v>72</v>
      </c>
      <c r="B93" s="116">
        <v>15</v>
      </c>
      <c r="C93" s="17"/>
      <c r="D93" s="17"/>
      <c r="E93" s="17">
        <f>TRUNC(60*Q93*(1-L7)*(1-N93))</f>
        <v>0</v>
      </c>
      <c r="F93" s="17"/>
      <c r="G93" s="17"/>
      <c r="H93" s="17"/>
      <c r="I93" s="17"/>
      <c r="J93" s="17"/>
      <c r="K93" s="17">
        <f>TRUNC(110*Q93*(1-L7)*(1-N93))</f>
        <v>0</v>
      </c>
      <c r="L93" s="18"/>
      <c r="M93" s="127" t="s">
        <v>173</v>
      </c>
      <c r="N93" s="124">
        <v>0</v>
      </c>
      <c r="O93" s="150">
        <f t="shared" si="14"/>
        <v>0</v>
      </c>
      <c r="P93" s="145">
        <f t="shared" ref="P93:P118" si="16">IF(OR(M93="Possédée",M93="Assiégée"),B93,0)</f>
        <v>0</v>
      </c>
      <c r="Q93" s="146">
        <f t="shared" si="15"/>
        <v>0</v>
      </c>
    </row>
    <row r="94" spans="1:17" x14ac:dyDescent="0.25">
      <c r="A94" t="s">
        <v>73</v>
      </c>
      <c r="B94" s="116">
        <v>15</v>
      </c>
      <c r="C94" s="17"/>
      <c r="D94" s="17"/>
      <c r="E94" s="17"/>
      <c r="F94" s="17"/>
      <c r="G94" s="17">
        <f>TRUNC(100*Q94*(1-L7)*(1-N94))</f>
        <v>0</v>
      </c>
      <c r="H94" s="17">
        <f>TRUNC(50*Q94*(1-L7)*(1-N94))</f>
        <v>0</v>
      </c>
      <c r="I94" s="17"/>
      <c r="J94" s="17"/>
      <c r="K94" s="17"/>
      <c r="L94" s="18">
        <f>TRUNC(20*Q94*(1-L7)*(1-N94))</f>
        <v>0</v>
      </c>
      <c r="M94" s="127" t="s">
        <v>173</v>
      </c>
      <c r="N94" s="124">
        <v>0</v>
      </c>
      <c r="O94" s="150">
        <f t="shared" si="14"/>
        <v>0</v>
      </c>
      <c r="P94" s="145">
        <f t="shared" si="16"/>
        <v>0</v>
      </c>
      <c r="Q94" s="146">
        <f t="shared" si="15"/>
        <v>0</v>
      </c>
    </row>
    <row r="95" spans="1:17" x14ac:dyDescent="0.25">
      <c r="A95" t="s">
        <v>74</v>
      </c>
      <c r="B95" s="116">
        <v>15</v>
      </c>
      <c r="C95" s="17"/>
      <c r="D95" s="17"/>
      <c r="E95" s="17">
        <f>TRUNC(100*Q95*(1-L7)*(1-N95))</f>
        <v>0</v>
      </c>
      <c r="F95" s="17"/>
      <c r="G95" s="17">
        <f>TRUNC(70*Q95*(1-L7)*(1-N95))</f>
        <v>0</v>
      </c>
      <c r="H95" s="17"/>
      <c r="I95" s="17"/>
      <c r="J95" s="17"/>
      <c r="K95" s="17"/>
      <c r="L95" s="18"/>
      <c r="M95" s="127" t="s">
        <v>173</v>
      </c>
      <c r="N95" s="124">
        <v>0</v>
      </c>
      <c r="O95" s="150">
        <f t="shared" si="14"/>
        <v>0</v>
      </c>
      <c r="P95" s="145">
        <f t="shared" si="16"/>
        <v>0</v>
      </c>
      <c r="Q95" s="146">
        <f t="shared" si="15"/>
        <v>0</v>
      </c>
    </row>
    <row r="96" spans="1:17" x14ac:dyDescent="0.25">
      <c r="A96" t="s">
        <v>75</v>
      </c>
      <c r="B96" s="116">
        <v>15</v>
      </c>
      <c r="C96" s="17"/>
      <c r="D96" s="17"/>
      <c r="E96" s="17">
        <f>TRUNC(120*Q96*(1-L7)*(1-N96))</f>
        <v>0</v>
      </c>
      <c r="F96" s="17"/>
      <c r="G96" s="17"/>
      <c r="H96" s="17"/>
      <c r="I96" s="17"/>
      <c r="J96" s="17"/>
      <c r="K96" s="17">
        <f>TRUNC(50*Q96*(1-L7)*(1-N96))</f>
        <v>0</v>
      </c>
      <c r="L96" s="18"/>
      <c r="M96" s="127" t="s">
        <v>173</v>
      </c>
      <c r="N96" s="124">
        <v>0</v>
      </c>
      <c r="O96" s="150">
        <f t="shared" si="14"/>
        <v>0</v>
      </c>
      <c r="P96" s="145">
        <f t="shared" si="16"/>
        <v>0</v>
      </c>
      <c r="Q96" s="146">
        <f t="shared" si="15"/>
        <v>0</v>
      </c>
    </row>
    <row r="97" spans="1:17" ht="15.75" thickBot="1" x14ac:dyDescent="0.3">
      <c r="A97" t="s">
        <v>76</v>
      </c>
      <c r="B97" s="116">
        <v>15</v>
      </c>
      <c r="C97" s="17"/>
      <c r="D97" s="17"/>
      <c r="E97" s="17">
        <f>TRUNC(170*Q97*(1-L7)*(1-N97))</f>
        <v>0</v>
      </c>
      <c r="F97" s="17"/>
      <c r="G97" s="17"/>
      <c r="H97" s="17"/>
      <c r="I97" s="17"/>
      <c r="J97" s="17"/>
      <c r="K97" s="17"/>
      <c r="L97" s="18"/>
      <c r="M97" s="127" t="s">
        <v>173</v>
      </c>
      <c r="N97" s="124">
        <v>0</v>
      </c>
      <c r="O97" s="150">
        <f t="shared" si="14"/>
        <v>0</v>
      </c>
      <c r="P97" s="145">
        <f t="shared" si="16"/>
        <v>0</v>
      </c>
      <c r="Q97" s="146">
        <f t="shared" si="15"/>
        <v>0</v>
      </c>
    </row>
    <row r="98" spans="1:17" ht="15.75" thickBot="1" x14ac:dyDescent="0.3">
      <c r="A98" s="3" t="s">
        <v>77</v>
      </c>
      <c r="B98" s="117" t="s">
        <v>166</v>
      </c>
      <c r="C98" s="91" t="s">
        <v>8</v>
      </c>
      <c r="D98" s="92" t="s">
        <v>9</v>
      </c>
      <c r="E98" s="92" t="s">
        <v>10</v>
      </c>
      <c r="F98" s="92" t="s">
        <v>137</v>
      </c>
      <c r="G98" s="92" t="s">
        <v>11</v>
      </c>
      <c r="H98" s="92" t="s">
        <v>138</v>
      </c>
      <c r="I98" s="92" t="s">
        <v>139</v>
      </c>
      <c r="J98" s="92" t="s">
        <v>12</v>
      </c>
      <c r="K98" s="92" t="s">
        <v>13</v>
      </c>
      <c r="L98" s="93" t="s">
        <v>105</v>
      </c>
      <c r="M98" s="93"/>
      <c r="N98" s="93"/>
      <c r="O98" s="151"/>
      <c r="P98" s="147"/>
      <c r="Q98" s="148"/>
    </row>
    <row r="99" spans="1:17" x14ac:dyDescent="0.25">
      <c r="A99" t="s">
        <v>78</v>
      </c>
      <c r="B99" s="115">
        <v>15</v>
      </c>
      <c r="C99" s="15"/>
      <c r="D99" s="15"/>
      <c r="E99" s="15"/>
      <c r="F99" s="15"/>
      <c r="G99" s="15">
        <f>TRUNC(30*Q99*(1-L7)*(1-N99))</f>
        <v>0</v>
      </c>
      <c r="H99" s="15">
        <f>TRUNC(40*Q99*(1-L7)*(1-N99))</f>
        <v>0</v>
      </c>
      <c r="I99" s="15">
        <f>TRUNC(140*Q99*(1-L7)*(1-N99))</f>
        <v>0</v>
      </c>
      <c r="J99" s="15"/>
      <c r="K99" s="15"/>
      <c r="L99" s="16"/>
      <c r="M99" s="127" t="s">
        <v>173</v>
      </c>
      <c r="N99" s="124">
        <v>0</v>
      </c>
      <c r="O99" s="149">
        <f>IF(E$6="Val-Boisé",60000*Q99*(1-L$7)*(1-N99),30000*Q99*(1-L$7)*(1-N99))</f>
        <v>0</v>
      </c>
      <c r="P99" s="145">
        <f t="shared" si="16"/>
        <v>0</v>
      </c>
      <c r="Q99" s="146">
        <f t="shared" si="15"/>
        <v>0</v>
      </c>
    </row>
    <row r="100" spans="1:17" x14ac:dyDescent="0.25">
      <c r="A100" t="s">
        <v>79</v>
      </c>
      <c r="B100" s="116">
        <v>15</v>
      </c>
      <c r="C100" s="17"/>
      <c r="D100" s="17"/>
      <c r="E100" s="17"/>
      <c r="F100" s="17"/>
      <c r="G100" s="17"/>
      <c r="H100" s="17"/>
      <c r="I100" s="17">
        <f>TRUNC(50*Q100*(1-L7)*(1-N100))</f>
        <v>0</v>
      </c>
      <c r="J100" s="17">
        <f>TRUNC(120*Q100*(1-L7)*(1-N100))</f>
        <v>0</v>
      </c>
      <c r="K100" s="17"/>
      <c r="L100" s="18"/>
      <c r="M100" s="127" t="s">
        <v>173</v>
      </c>
      <c r="N100" s="124">
        <v>0</v>
      </c>
      <c r="O100" s="150">
        <f t="shared" ref="O100:O106" si="17">30000*Q100*(1-L$7)*(1-N100)</f>
        <v>0</v>
      </c>
      <c r="P100" s="145">
        <f t="shared" si="16"/>
        <v>0</v>
      </c>
      <c r="Q100" s="146">
        <f t="shared" si="15"/>
        <v>0</v>
      </c>
    </row>
    <row r="101" spans="1:17" x14ac:dyDescent="0.25">
      <c r="A101" t="s">
        <v>80</v>
      </c>
      <c r="B101" s="116">
        <v>15</v>
      </c>
      <c r="C101" s="17"/>
      <c r="D101" s="17"/>
      <c r="E101" s="17"/>
      <c r="F101" s="17">
        <f>TRUNC(70*Q101*(1-L7)*(1-N101))</f>
        <v>0</v>
      </c>
      <c r="G101" s="17">
        <f>TRUNC(40*Q101*(1-L7)*(1-N101))</f>
        <v>0</v>
      </c>
      <c r="H101" s="17"/>
      <c r="I101" s="17"/>
      <c r="J101" s="17"/>
      <c r="K101" s="17">
        <f>TRUNC(20*Q101*(1-L7)*(1-N101))</f>
        <v>0</v>
      </c>
      <c r="L101" s="18">
        <f>TRUNC(40*Q101*(1-L7)*(1-N101))</f>
        <v>0</v>
      </c>
      <c r="M101" s="127" t="s">
        <v>173</v>
      </c>
      <c r="N101" s="124">
        <v>0</v>
      </c>
      <c r="O101" s="150">
        <f t="shared" si="17"/>
        <v>0</v>
      </c>
      <c r="P101" s="145">
        <f t="shared" si="16"/>
        <v>0</v>
      </c>
      <c r="Q101" s="146">
        <f t="shared" si="15"/>
        <v>0</v>
      </c>
    </row>
    <row r="102" spans="1:17" x14ac:dyDescent="0.25">
      <c r="A102" t="s">
        <v>81</v>
      </c>
      <c r="B102" s="116">
        <v>15</v>
      </c>
      <c r="C102" s="17"/>
      <c r="D102" s="17"/>
      <c r="E102" s="17"/>
      <c r="F102" s="17"/>
      <c r="G102" s="17"/>
      <c r="H102" s="17"/>
      <c r="I102" s="17">
        <f>TRUNC(170*Q102*(1-L7)*(1-N102))</f>
        <v>0</v>
      </c>
      <c r="J102" s="17"/>
      <c r="K102" s="17"/>
      <c r="L102" s="18"/>
      <c r="M102" s="127" t="s">
        <v>173</v>
      </c>
      <c r="N102" s="124">
        <v>0</v>
      </c>
      <c r="O102" s="150">
        <f t="shared" si="17"/>
        <v>0</v>
      </c>
      <c r="P102" s="145">
        <f t="shared" si="16"/>
        <v>0</v>
      </c>
      <c r="Q102" s="146">
        <f t="shared" si="15"/>
        <v>0</v>
      </c>
    </row>
    <row r="103" spans="1:17" x14ac:dyDescent="0.25">
      <c r="A103" t="s">
        <v>82</v>
      </c>
      <c r="B103" s="116">
        <v>15</v>
      </c>
      <c r="C103" s="17">
        <f>TRUNC(100*Q103*(1-L7)*(1-N103))</f>
        <v>0</v>
      </c>
      <c r="D103" s="17"/>
      <c r="E103" s="17"/>
      <c r="F103" s="17"/>
      <c r="G103" s="17"/>
      <c r="H103" s="17"/>
      <c r="I103" s="17"/>
      <c r="J103" s="17">
        <f>TRUNC(70*Q103*(1-L7)*(1-N103))</f>
        <v>0</v>
      </c>
      <c r="K103" s="17"/>
      <c r="L103" s="18"/>
      <c r="M103" s="127" t="s">
        <v>173</v>
      </c>
      <c r="N103" s="124">
        <v>0</v>
      </c>
      <c r="O103" s="150">
        <f t="shared" si="17"/>
        <v>0</v>
      </c>
      <c r="P103" s="145">
        <f t="shared" si="16"/>
        <v>0</v>
      </c>
      <c r="Q103" s="146">
        <f t="shared" si="15"/>
        <v>0</v>
      </c>
    </row>
    <row r="104" spans="1:17" x14ac:dyDescent="0.25">
      <c r="A104" t="s">
        <v>83</v>
      </c>
      <c r="B104" s="116">
        <v>15</v>
      </c>
      <c r="C104" s="17">
        <f>TRUNC(170*Q104*(1-L7)*(1-N104))</f>
        <v>0</v>
      </c>
      <c r="D104" s="17"/>
      <c r="E104" s="17"/>
      <c r="F104" s="17"/>
      <c r="G104" s="17"/>
      <c r="H104" s="17"/>
      <c r="I104" s="17"/>
      <c r="J104" s="17"/>
      <c r="K104" s="17"/>
      <c r="L104" s="18"/>
      <c r="M104" s="127" t="s">
        <v>173</v>
      </c>
      <c r="N104" s="124">
        <v>0</v>
      </c>
      <c r="O104" s="150">
        <f t="shared" si="17"/>
        <v>0</v>
      </c>
      <c r="P104" s="145">
        <f t="shared" si="16"/>
        <v>0</v>
      </c>
      <c r="Q104" s="146">
        <f t="shared" si="15"/>
        <v>0</v>
      </c>
    </row>
    <row r="105" spans="1:17" x14ac:dyDescent="0.25">
      <c r="A105" t="s">
        <v>84</v>
      </c>
      <c r="B105" s="116">
        <v>15</v>
      </c>
      <c r="C105" s="17"/>
      <c r="D105" s="17"/>
      <c r="E105" s="17"/>
      <c r="F105" s="17"/>
      <c r="G105" s="17"/>
      <c r="H105" s="17">
        <f>TRUNC(170*Q105*(1-L7)*(1-N105))</f>
        <v>0</v>
      </c>
      <c r="I105" s="17"/>
      <c r="J105" s="17"/>
      <c r="K105" s="17"/>
      <c r="L105" s="18"/>
      <c r="M105" s="127" t="s">
        <v>173</v>
      </c>
      <c r="N105" s="124">
        <v>0</v>
      </c>
      <c r="O105" s="150">
        <f t="shared" si="17"/>
        <v>0</v>
      </c>
      <c r="P105" s="145">
        <f t="shared" si="16"/>
        <v>0</v>
      </c>
      <c r="Q105" s="146">
        <f t="shared" si="15"/>
        <v>0</v>
      </c>
    </row>
    <row r="106" spans="1:17" ht="15.75" thickBot="1" x14ac:dyDescent="0.3">
      <c r="A106" t="s">
        <v>85</v>
      </c>
      <c r="B106" s="116">
        <v>15</v>
      </c>
      <c r="C106" s="17">
        <f>TRUNC(60*Q106*(1-L7)*(1-N106))</f>
        <v>0</v>
      </c>
      <c r="D106" s="17"/>
      <c r="E106" s="17"/>
      <c r="F106" s="17"/>
      <c r="G106" s="17"/>
      <c r="H106" s="17"/>
      <c r="I106" s="17">
        <f>TRUNC(110*Q106*(1-L7)*(1-N106))</f>
        <v>0</v>
      </c>
      <c r="J106" s="17"/>
      <c r="K106" s="17"/>
      <c r="L106" s="18"/>
      <c r="M106" s="127" t="s">
        <v>173</v>
      </c>
      <c r="N106" s="124">
        <v>0</v>
      </c>
      <c r="O106" s="150">
        <f t="shared" si="17"/>
        <v>0</v>
      </c>
      <c r="P106" s="145">
        <f t="shared" si="16"/>
        <v>0</v>
      </c>
      <c r="Q106" s="146">
        <f t="shared" si="15"/>
        <v>0</v>
      </c>
    </row>
    <row r="107" spans="1:17" ht="15.75" thickBot="1" x14ac:dyDescent="0.3">
      <c r="A107" s="3" t="s">
        <v>86</v>
      </c>
      <c r="B107" s="117" t="s">
        <v>166</v>
      </c>
      <c r="C107" s="91" t="s">
        <v>8</v>
      </c>
      <c r="D107" s="92" t="s">
        <v>9</v>
      </c>
      <c r="E107" s="92" t="s">
        <v>10</v>
      </c>
      <c r="F107" s="92" t="s">
        <v>137</v>
      </c>
      <c r="G107" s="92" t="s">
        <v>11</v>
      </c>
      <c r="H107" s="92" t="s">
        <v>138</v>
      </c>
      <c r="I107" s="92" t="s">
        <v>139</v>
      </c>
      <c r="J107" s="92" t="s">
        <v>12</v>
      </c>
      <c r="K107" s="92" t="s">
        <v>13</v>
      </c>
      <c r="L107" s="93" t="s">
        <v>105</v>
      </c>
      <c r="M107" s="93"/>
      <c r="N107" s="93"/>
      <c r="O107" s="151"/>
      <c r="P107" s="147"/>
      <c r="Q107" s="148"/>
    </row>
    <row r="108" spans="1:17" x14ac:dyDescent="0.25">
      <c r="A108" t="s">
        <v>89</v>
      </c>
      <c r="B108" s="115">
        <v>15</v>
      </c>
      <c r="C108" s="15"/>
      <c r="D108" s="15"/>
      <c r="E108" s="15">
        <f>TRUNC(90*Q108*(1-L7)*(1-N108))</f>
        <v>0</v>
      </c>
      <c r="F108" s="15"/>
      <c r="G108" s="15"/>
      <c r="H108" s="15"/>
      <c r="I108" s="15"/>
      <c r="J108" s="15"/>
      <c r="K108" s="15">
        <f>TRUNC(120*Q108*(1-L7)*(1-N108))</f>
        <v>0</v>
      </c>
      <c r="L108" s="16"/>
      <c r="M108" s="127" t="s">
        <v>173</v>
      </c>
      <c r="N108" s="124">
        <v>0</v>
      </c>
      <c r="O108" s="149">
        <f>IF(E$6="Solstheim",60000*Q108*(1-L$7)*(1-N108),30000*Q108*(1-L$7)*(1-N108))</f>
        <v>0</v>
      </c>
      <c r="P108" s="145">
        <f t="shared" si="16"/>
        <v>0</v>
      </c>
      <c r="Q108" s="146">
        <f t="shared" si="15"/>
        <v>0</v>
      </c>
    </row>
    <row r="109" spans="1:17" x14ac:dyDescent="0.25">
      <c r="A109" t="s">
        <v>88</v>
      </c>
      <c r="B109" s="116">
        <v>15</v>
      </c>
      <c r="C109" s="17"/>
      <c r="D109" s="17"/>
      <c r="E109" s="17">
        <f>TRUNC(80*Q109*(1-L7)*(1-N109))</f>
        <v>0</v>
      </c>
      <c r="F109" s="17"/>
      <c r="G109" s="17">
        <f>TRUNC(20*Q109*(1-L7)*(1-N109))</f>
        <v>0</v>
      </c>
      <c r="H109" s="17"/>
      <c r="I109" s="17"/>
      <c r="J109" s="17"/>
      <c r="K109" s="17">
        <f>TRUNC(70*Q109*(1-L7)*(1-N109))</f>
        <v>0</v>
      </c>
      <c r="L109" s="18"/>
      <c r="M109" s="127" t="s">
        <v>173</v>
      </c>
      <c r="N109" s="124">
        <v>0</v>
      </c>
      <c r="O109" s="150">
        <f t="shared" ref="O109:O110" si="18">30000*Q109*(1-L$7)*(1-N109)</f>
        <v>0</v>
      </c>
      <c r="P109" s="145">
        <f t="shared" si="16"/>
        <v>0</v>
      </c>
      <c r="Q109" s="146">
        <f t="shared" si="15"/>
        <v>0</v>
      </c>
    </row>
    <row r="110" spans="1:17" ht="15.75" thickBot="1" x14ac:dyDescent="0.3">
      <c r="A110" s="39" t="s">
        <v>87</v>
      </c>
      <c r="B110" s="116">
        <v>15</v>
      </c>
      <c r="C110" s="19"/>
      <c r="D110" s="17">
        <f>TRUNC(90*Q110*(1-L7)*(1-N110))</f>
        <v>0</v>
      </c>
      <c r="E110" s="17"/>
      <c r="F110" s="17"/>
      <c r="G110" s="17">
        <f>TRUNC(30*Q110*(1-L7)*(1-N110))</f>
        <v>0</v>
      </c>
      <c r="H110" s="17"/>
      <c r="I110" s="17"/>
      <c r="J110" s="17"/>
      <c r="K110" s="17">
        <f>TRUNC(50*Q110*(1-L7)*(1-N110))</f>
        <v>0</v>
      </c>
      <c r="L110" s="18"/>
      <c r="M110" s="127" t="s">
        <v>173</v>
      </c>
      <c r="N110" s="124">
        <v>0</v>
      </c>
      <c r="O110" s="150">
        <f t="shared" si="18"/>
        <v>0</v>
      </c>
      <c r="P110" s="145">
        <f t="shared" si="16"/>
        <v>0</v>
      </c>
      <c r="Q110" s="146">
        <f t="shared" si="15"/>
        <v>0</v>
      </c>
    </row>
    <row r="111" spans="1:17" ht="15.75" thickBot="1" x14ac:dyDescent="0.3">
      <c r="A111" s="3" t="s">
        <v>140</v>
      </c>
      <c r="B111" s="119">
        <v>15</v>
      </c>
      <c r="C111" s="113"/>
      <c r="D111" s="89"/>
      <c r="E111" s="89">
        <f>TRUNC(70*Q111*(1-L7)*(1-N111))</f>
        <v>0</v>
      </c>
      <c r="F111" s="89"/>
      <c r="G111" s="89">
        <f>TRUNC(40*Q111*(1-L7)*(1-N111))</f>
        <v>0</v>
      </c>
      <c r="H111" s="89"/>
      <c r="I111" s="89"/>
      <c r="J111" s="89"/>
      <c r="K111" s="89">
        <f>TRUNC(100*Q111*(1-L7)*(1-N111))</f>
        <v>0</v>
      </c>
      <c r="L111" s="90"/>
      <c r="M111" s="127" t="s">
        <v>173</v>
      </c>
      <c r="N111" s="124">
        <v>0</v>
      </c>
      <c r="O111" s="150">
        <f>IF(E$6="Orsinium",60000*Q111*(1-L$7)*(1-N111),30000*Q111*(1-L$7)*(1-N111))</f>
        <v>0</v>
      </c>
      <c r="P111" s="145">
        <f t="shared" si="16"/>
        <v>0</v>
      </c>
      <c r="Q111" s="146">
        <f t="shared" si="15"/>
        <v>0</v>
      </c>
    </row>
    <row r="112" spans="1:17" ht="15.75" thickBot="1" x14ac:dyDescent="0.3">
      <c r="A112" s="3" t="s">
        <v>215</v>
      </c>
      <c r="B112" s="117" t="s">
        <v>166</v>
      </c>
      <c r="C112" s="91" t="s">
        <v>8</v>
      </c>
      <c r="D112" s="92" t="s">
        <v>9</v>
      </c>
      <c r="E112" s="92" t="s">
        <v>10</v>
      </c>
      <c r="F112" s="92" t="s">
        <v>137</v>
      </c>
      <c r="G112" s="92" t="s">
        <v>11</v>
      </c>
      <c r="H112" s="92" t="s">
        <v>138</v>
      </c>
      <c r="I112" s="92" t="s">
        <v>139</v>
      </c>
      <c r="J112" s="92" t="s">
        <v>12</v>
      </c>
      <c r="K112" s="92" t="s">
        <v>13</v>
      </c>
      <c r="L112" s="93" t="s">
        <v>105</v>
      </c>
      <c r="M112" s="93"/>
      <c r="N112" s="93"/>
      <c r="O112" s="151"/>
      <c r="P112" s="147"/>
      <c r="Q112" s="148"/>
    </row>
    <row r="113" spans="1:17" x14ac:dyDescent="0.25">
      <c r="A113" t="s">
        <v>142</v>
      </c>
      <c r="B113" s="115">
        <v>0</v>
      </c>
      <c r="C113" s="15"/>
      <c r="D113" s="15"/>
      <c r="E113" s="15">
        <f>TRUNC(10*Q113*(1-N113))</f>
        <v>0</v>
      </c>
      <c r="F113" s="15"/>
      <c r="G113" s="15"/>
      <c r="H113" s="15">
        <f>TRUNC(10*Q113*(1-N113))</f>
        <v>0</v>
      </c>
      <c r="I113" s="15"/>
      <c r="J113" s="15">
        <f>TRUNC(10*Q113*(1-N113))</f>
        <v>0</v>
      </c>
      <c r="K113" s="15"/>
      <c r="L113" s="16"/>
      <c r="M113" s="127" t="s">
        <v>173</v>
      </c>
      <c r="N113" s="124">
        <v>0</v>
      </c>
      <c r="O113" s="149">
        <f>IF(E$6="Strik",40000*Q113*(1-L$7)*(1-N113),0)</f>
        <v>0</v>
      </c>
      <c r="P113" s="145">
        <f t="shared" si="16"/>
        <v>0</v>
      </c>
      <c r="Q113" s="146">
        <f>IF(E$6=A113,IF(M113="Possédée",1,IF(M113="Assiégée",0.5,0)),0)</f>
        <v>0</v>
      </c>
    </row>
    <row r="114" spans="1:17" x14ac:dyDescent="0.25">
      <c r="A114" t="s">
        <v>143</v>
      </c>
      <c r="B114" s="116">
        <v>0</v>
      </c>
      <c r="C114" s="17"/>
      <c r="D114" s="17"/>
      <c r="E114" s="17">
        <f>TRUNC(10*Q114*(1-N114))</f>
        <v>0</v>
      </c>
      <c r="F114" s="17"/>
      <c r="G114" s="17"/>
      <c r="H114" s="17">
        <f>TRUNC(10*Q114*(1-N114))</f>
        <v>0</v>
      </c>
      <c r="I114" s="17"/>
      <c r="J114" s="17">
        <f>TRUNC(10*Q114*(1-N114))</f>
        <v>0</v>
      </c>
      <c r="K114" s="17"/>
      <c r="L114" s="18"/>
      <c r="M114" s="127" t="s">
        <v>173</v>
      </c>
      <c r="N114" s="124">
        <v>0</v>
      </c>
      <c r="O114" s="150">
        <f>IF(E$6="Stros M'Kai",40000*Q114*(1-L$7)*(1-N114),0)</f>
        <v>0</v>
      </c>
      <c r="P114" s="145">
        <f t="shared" si="16"/>
        <v>0</v>
      </c>
      <c r="Q114" s="146">
        <f t="shared" ref="Q114:Q118" si="19">IF(E$6=A114,IF(M114="Possédée",1,IF(M114="Assiégée",0.5,0)),0)</f>
        <v>0</v>
      </c>
    </row>
    <row r="115" spans="1:17" x14ac:dyDescent="0.25">
      <c r="A115" t="s">
        <v>144</v>
      </c>
      <c r="B115" s="116">
        <v>0</v>
      </c>
      <c r="C115" s="17"/>
      <c r="D115" s="17"/>
      <c r="E115" s="17">
        <f t="shared" ref="E115:E118" si="20">TRUNC(10*Q115*(1-N115))</f>
        <v>0</v>
      </c>
      <c r="F115" s="17"/>
      <c r="G115" s="17"/>
      <c r="H115" s="17">
        <f t="shared" ref="H115:H118" si="21">TRUNC(10*Q115*(1-N115))</f>
        <v>0</v>
      </c>
      <c r="I115" s="17"/>
      <c r="J115" s="17">
        <f t="shared" ref="J115:J118" si="22">TRUNC(10*Q115*(1-N115))</f>
        <v>0</v>
      </c>
      <c r="K115" s="17"/>
      <c r="L115" s="18"/>
      <c r="M115" s="127" t="s">
        <v>173</v>
      </c>
      <c r="N115" s="124">
        <v>0</v>
      </c>
      <c r="O115" s="150">
        <f>IF(E$6="Vivec",40000*Q115*(1-L$7)*(1-N115),0)</f>
        <v>0</v>
      </c>
      <c r="P115" s="145">
        <f t="shared" si="16"/>
        <v>0</v>
      </c>
      <c r="Q115" s="146">
        <f t="shared" si="19"/>
        <v>0</v>
      </c>
    </row>
    <row r="116" spans="1:17" x14ac:dyDescent="0.25">
      <c r="A116" t="s">
        <v>145</v>
      </c>
      <c r="B116" s="116">
        <v>0</v>
      </c>
      <c r="C116" s="17"/>
      <c r="D116" s="17"/>
      <c r="E116" s="17">
        <f t="shared" si="20"/>
        <v>0</v>
      </c>
      <c r="F116" s="17"/>
      <c r="G116" s="17"/>
      <c r="H116" s="17">
        <f t="shared" si="21"/>
        <v>0</v>
      </c>
      <c r="I116" s="17"/>
      <c r="J116" s="17">
        <f t="shared" si="22"/>
        <v>0</v>
      </c>
      <c r="K116" s="17"/>
      <c r="L116" s="18"/>
      <c r="M116" s="127" t="s">
        <v>173</v>
      </c>
      <c r="N116" s="124">
        <v>0</v>
      </c>
      <c r="O116" s="150">
        <f>IF(E$6="Sadrith Mora",40000*Q116*(1-L$7)*(1-N116),0)</f>
        <v>0</v>
      </c>
      <c r="P116" s="145">
        <f t="shared" si="16"/>
        <v>0</v>
      </c>
      <c r="Q116" s="146">
        <f t="shared" si="19"/>
        <v>0</v>
      </c>
    </row>
    <row r="117" spans="1:17" x14ac:dyDescent="0.25">
      <c r="A117" t="s">
        <v>146</v>
      </c>
      <c r="B117" s="116">
        <v>0</v>
      </c>
      <c r="C117" s="17"/>
      <c r="D117" s="17"/>
      <c r="E117" s="17">
        <f t="shared" si="20"/>
        <v>0</v>
      </c>
      <c r="F117" s="17"/>
      <c r="G117" s="17"/>
      <c r="H117" s="17">
        <f t="shared" si="21"/>
        <v>0</v>
      </c>
      <c r="I117" s="17"/>
      <c r="J117" s="17">
        <f t="shared" si="22"/>
        <v>0</v>
      </c>
      <c r="K117" s="17"/>
      <c r="L117" s="18"/>
      <c r="M117" s="127" t="s">
        <v>173</v>
      </c>
      <c r="N117" s="124">
        <v>0</v>
      </c>
      <c r="O117" s="150">
        <f>IF(E$6="Dagon Fel",40000*Q117*(1-L$7)*(1-N117),0)</f>
        <v>0</v>
      </c>
      <c r="P117" s="145">
        <f t="shared" si="16"/>
        <v>0</v>
      </c>
      <c r="Q117" s="146">
        <f t="shared" si="19"/>
        <v>0</v>
      </c>
    </row>
    <row r="118" spans="1:17" ht="15.75" thickBot="1" x14ac:dyDescent="0.3">
      <c r="A118" s="40" t="s">
        <v>147</v>
      </c>
      <c r="B118" s="118">
        <v>0</v>
      </c>
      <c r="C118" s="21"/>
      <c r="D118" s="21"/>
      <c r="E118" s="17">
        <f t="shared" si="20"/>
        <v>0</v>
      </c>
      <c r="F118" s="21"/>
      <c r="G118" s="21"/>
      <c r="H118" s="17">
        <f t="shared" si="21"/>
        <v>0</v>
      </c>
      <c r="I118" s="21"/>
      <c r="J118" s="17">
        <f t="shared" si="22"/>
        <v>0</v>
      </c>
      <c r="K118" s="21"/>
      <c r="L118" s="22"/>
      <c r="M118" s="128" t="s">
        <v>173</v>
      </c>
      <c r="N118" s="125">
        <v>0</v>
      </c>
      <c r="O118" s="150">
        <f>IF(E$6="Port Telvannis",40000*Q118*(1-L$7)*(1-N118),0)</f>
        <v>0</v>
      </c>
      <c r="P118" s="145">
        <f t="shared" si="16"/>
        <v>0</v>
      </c>
      <c r="Q118" s="146">
        <f t="shared" si="19"/>
        <v>0</v>
      </c>
    </row>
    <row r="119" spans="1:17" ht="15.75" thickBot="1" x14ac:dyDescent="0.3">
      <c r="A119" s="132" t="s">
        <v>202</v>
      </c>
      <c r="B119" s="119">
        <f>SUM(P27:P118)</f>
        <v>15</v>
      </c>
      <c r="C119" s="89">
        <f>SUM(C27:C118)</f>
        <v>0</v>
      </c>
      <c r="D119" s="89">
        <f>SUM(D27:D118)</f>
        <v>20</v>
      </c>
      <c r="E119" s="89">
        <f>SUM(E27:E118)</f>
        <v>0</v>
      </c>
      <c r="F119" s="89">
        <f t="shared" ref="F119:L119" si="23">SUM(F27:F118)</f>
        <v>0</v>
      </c>
      <c r="G119" s="89">
        <f t="shared" si="23"/>
        <v>0</v>
      </c>
      <c r="H119" s="89">
        <f t="shared" si="23"/>
        <v>0</v>
      </c>
      <c r="I119" s="89">
        <f t="shared" si="23"/>
        <v>150</v>
      </c>
      <c r="J119" s="89">
        <f t="shared" si="23"/>
        <v>0</v>
      </c>
      <c r="K119" s="89">
        <f t="shared" si="23"/>
        <v>0</v>
      </c>
      <c r="L119" s="89">
        <f t="shared" si="23"/>
        <v>40</v>
      </c>
      <c r="M119" s="133"/>
      <c r="N119" s="134"/>
      <c r="O119" s="151">
        <f>SUM(O27:O118)</f>
        <v>60000</v>
      </c>
      <c r="P119" s="147"/>
      <c r="Q119" s="148"/>
    </row>
    <row r="120" spans="1:17" x14ac:dyDescent="0.25">
      <c r="A120" s="131" t="s">
        <v>216</v>
      </c>
    </row>
    <row r="122" spans="1:17" x14ac:dyDescent="0.25">
      <c r="A122" t="s">
        <v>160</v>
      </c>
    </row>
    <row r="123" spans="1:17" x14ac:dyDescent="0.25">
      <c r="A123" t="s">
        <v>22</v>
      </c>
      <c r="D123" t="s">
        <v>199</v>
      </c>
    </row>
    <row r="124" spans="1:17" x14ac:dyDescent="0.25">
      <c r="A124" t="s">
        <v>23</v>
      </c>
      <c r="B124" s="122">
        <v>0</v>
      </c>
      <c r="C124" t="s">
        <v>178</v>
      </c>
      <c r="D124" t="s">
        <v>200</v>
      </c>
      <c r="E124">
        <f>COUNTIF(M27:M111,"Possédée")+COUNTIF(M27:M111,"Assiégée")</f>
        <v>1</v>
      </c>
    </row>
    <row r="125" spans="1:17" x14ac:dyDescent="0.25">
      <c r="A125" t="s">
        <v>24</v>
      </c>
      <c r="B125" s="122">
        <v>0.05</v>
      </c>
      <c r="C125" t="s">
        <v>179</v>
      </c>
      <c r="D125" t="s">
        <v>217</v>
      </c>
      <c r="E125">
        <f>COUNTIF(M113:M118,"Possédée")+COUNTIF(M113:M118,"Assiégée")</f>
        <v>0</v>
      </c>
    </row>
    <row r="126" spans="1:17" x14ac:dyDescent="0.25">
      <c r="A126" t="s">
        <v>33</v>
      </c>
      <c r="B126" s="122">
        <v>0.1</v>
      </c>
      <c r="C126" t="s">
        <v>180</v>
      </c>
      <c r="D126" s="97" t="s">
        <v>218</v>
      </c>
      <c r="E126">
        <f>COUNTIF(M27:M118,"Possédée")+COUNTIF(M27:M118,"Assiégée")</f>
        <v>1</v>
      </c>
    </row>
    <row r="127" spans="1:17" x14ac:dyDescent="0.25">
      <c r="A127" t="s">
        <v>41</v>
      </c>
      <c r="B127" s="122">
        <v>0.15</v>
      </c>
      <c r="C127" t="s">
        <v>181</v>
      </c>
      <c r="D127" t="s">
        <v>201</v>
      </c>
      <c r="E127">
        <f>COUNTIF(M27:M118,"Assiégée")</f>
        <v>0</v>
      </c>
    </row>
    <row r="128" spans="1:17" x14ac:dyDescent="0.25">
      <c r="A128" t="s">
        <v>49</v>
      </c>
      <c r="B128" s="122">
        <v>0.2</v>
      </c>
      <c r="C128" t="s">
        <v>182</v>
      </c>
    </row>
    <row r="129" spans="1:3" x14ac:dyDescent="0.25">
      <c r="A129" t="s">
        <v>59</v>
      </c>
      <c r="B129" s="122">
        <v>0.25</v>
      </c>
      <c r="C129" t="s">
        <v>183</v>
      </c>
    </row>
    <row r="130" spans="1:3" x14ac:dyDescent="0.25">
      <c r="A130" t="s">
        <v>68</v>
      </c>
      <c r="B130" s="122">
        <v>0.3</v>
      </c>
      <c r="C130" t="s">
        <v>184</v>
      </c>
    </row>
    <row r="131" spans="1:3" x14ac:dyDescent="0.25">
      <c r="A131" t="s">
        <v>77</v>
      </c>
      <c r="B131" s="122">
        <v>0.35</v>
      </c>
      <c r="C131" t="s">
        <v>185</v>
      </c>
    </row>
    <row r="132" spans="1:3" x14ac:dyDescent="0.25">
      <c r="A132" t="s">
        <v>86</v>
      </c>
      <c r="B132" s="122">
        <v>0.4</v>
      </c>
      <c r="C132" t="s">
        <v>186</v>
      </c>
    </row>
    <row r="133" spans="1:3" x14ac:dyDescent="0.25">
      <c r="A133" t="s">
        <v>140</v>
      </c>
      <c r="B133" s="122">
        <v>0.45</v>
      </c>
      <c r="C133" t="s">
        <v>187</v>
      </c>
    </row>
    <row r="134" spans="1:3" x14ac:dyDescent="0.25">
      <c r="A134" t="s">
        <v>142</v>
      </c>
      <c r="B134" s="122">
        <v>0.5</v>
      </c>
      <c r="C134" t="s">
        <v>188</v>
      </c>
    </row>
    <row r="135" spans="1:3" x14ac:dyDescent="0.25">
      <c r="A135" t="s">
        <v>143</v>
      </c>
      <c r="B135" s="122">
        <v>0.55000000000000004</v>
      </c>
      <c r="C135" t="s">
        <v>189</v>
      </c>
    </row>
    <row r="136" spans="1:3" x14ac:dyDescent="0.25">
      <c r="A136" t="s">
        <v>144</v>
      </c>
      <c r="B136" s="122">
        <v>0.6</v>
      </c>
      <c r="C136" t="s">
        <v>190</v>
      </c>
    </row>
    <row r="137" spans="1:3" x14ac:dyDescent="0.25">
      <c r="A137" t="s">
        <v>145</v>
      </c>
      <c r="B137" s="122">
        <v>0.65</v>
      </c>
      <c r="C137" t="s">
        <v>191</v>
      </c>
    </row>
    <row r="138" spans="1:3" x14ac:dyDescent="0.25">
      <c r="A138" t="s">
        <v>146</v>
      </c>
      <c r="B138" s="122">
        <v>0.7</v>
      </c>
      <c r="C138" t="s">
        <v>192</v>
      </c>
    </row>
    <row r="139" spans="1:3" x14ac:dyDescent="0.25">
      <c r="A139" t="s">
        <v>147</v>
      </c>
      <c r="B139" s="122">
        <v>0.75</v>
      </c>
      <c r="C139" t="s">
        <v>193</v>
      </c>
    </row>
    <row r="140" spans="1:3" x14ac:dyDescent="0.25">
      <c r="A140" t="s">
        <v>219</v>
      </c>
      <c r="B140" s="122">
        <v>0.8</v>
      </c>
      <c r="C140" t="s">
        <v>194</v>
      </c>
    </row>
    <row r="141" spans="1:3" x14ac:dyDescent="0.25">
      <c r="B141" s="122">
        <v>0.85</v>
      </c>
      <c r="C141" t="s">
        <v>195</v>
      </c>
    </row>
    <row r="142" spans="1:3" x14ac:dyDescent="0.25">
      <c r="B142" s="122">
        <v>0.9</v>
      </c>
      <c r="C142" t="s">
        <v>196</v>
      </c>
    </row>
    <row r="143" spans="1:3" x14ac:dyDescent="0.25">
      <c r="B143" s="122">
        <v>0.95</v>
      </c>
      <c r="C143" t="s">
        <v>197</v>
      </c>
    </row>
    <row r="144" spans="1:3" x14ac:dyDescent="0.25">
      <c r="B144" s="122">
        <v>1</v>
      </c>
      <c r="C144" t="s">
        <v>198</v>
      </c>
    </row>
    <row r="145" spans="3:3" x14ac:dyDescent="0.25">
      <c r="C145" t="s">
        <v>209</v>
      </c>
    </row>
    <row r="146" spans="3:3" x14ac:dyDescent="0.25">
      <c r="C146" t="s">
        <v>210</v>
      </c>
    </row>
    <row r="147" spans="3:3" x14ac:dyDescent="0.25">
      <c r="C147" t="s">
        <v>211</v>
      </c>
    </row>
    <row r="148" spans="3:3" x14ac:dyDescent="0.25">
      <c r="C148" t="s">
        <v>212</v>
      </c>
    </row>
  </sheetData>
  <mergeCells count="6">
    <mergeCell ref="P25:Q25"/>
    <mergeCell ref="E6:G6"/>
    <mergeCell ref="H6:K6"/>
    <mergeCell ref="C7:D7"/>
    <mergeCell ref="H7:K7"/>
    <mergeCell ref="C25:L25"/>
  </mergeCells>
  <conditionalFormatting sqref="C21:L21">
    <cfRule type="cellIs" dxfId="79" priority="5" operator="greaterThanOrEqual">
      <formula>0</formula>
    </cfRule>
    <cfRule type="cellIs" dxfId="78" priority="6" operator="lessThan">
      <formula>0</formula>
    </cfRule>
  </conditionalFormatting>
  <conditionalFormatting sqref="C13:L13">
    <cfRule type="containsText" dxfId="77" priority="7" operator="containsText" text="Oui">
      <formula>NOT(ISERROR(SEARCH("Oui",C13)))</formula>
    </cfRule>
    <cfRule type="containsText" dxfId="76" priority="8" operator="containsText" text="Non">
      <formula>NOT(ISERROR(SEARCH("Non",C13)))</formula>
    </cfRule>
  </conditionalFormatting>
  <conditionalFormatting sqref="M27:M34 M36:M43 M45:M53 M55:M61 M63:M70 M72:M79 M81:M88 M90:M97 M99:M106 M108:M111 M113:M119">
    <cfRule type="containsText" dxfId="75" priority="2" operator="containsText" text="Non Possédée">
      <formula>NOT(ISERROR(SEARCH("Non Possédée",M27)))</formula>
    </cfRule>
    <cfRule type="containsText" dxfId="74" priority="3" operator="containsText" text="Assiégée">
      <formula>NOT(ISERROR(SEARCH("Assiégée",M27)))</formula>
    </cfRule>
    <cfRule type="containsText" dxfId="73" priority="4" operator="containsText" text="Possédée">
      <formula>NOT(ISERROR(SEARCH("Possédée",M27)))</formula>
    </cfRule>
  </conditionalFormatting>
  <conditionalFormatting sqref="N27:N34 N36:N43 N45:N53 N63:N70 N72:N79 N81:N88 N90:N97 N99:N106 N108:N111 N113:N119 N55:N61">
    <cfRule type="cellIs" dxfId="72" priority="1" operator="greaterThan">
      <formula>0</formula>
    </cfRule>
  </conditionalFormatting>
  <dataValidations count="4">
    <dataValidation type="list" allowBlank="1" showInputMessage="1" showErrorMessage="1" sqref="E6">
      <formula1>Provinces</formula1>
    </dataValidation>
    <dataValidation type="list" allowBlank="1" showInputMessage="1" showErrorMessage="1" sqref="M99:M106 M27:M34 M36:M43 M45:M53 M55:M61 M63:M70 M72:M79 M81:M88 M90:M97 M108:M111 M113:M119">
      <formula1>"Possédée,Assiégée,Non Possédée"</formula1>
    </dataValidation>
    <dataValidation type="list" allowBlank="1" showInputMessage="1" showErrorMessage="1" sqref="N108:N111 N27:N34 N36:N43 N113:N119 N45:N53 N63:N70 N72:N79 N81:N88 N90:N97 N99:N106 N55:N61">
      <formula1>Malus</formula1>
    </dataValidation>
    <dataValidation type="list" errorStyle="information" allowBlank="1" showInputMessage="1" showErrorMessage="1" sqref="D8 E7">
      <formula1>Année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8"/>
  <sheetViews>
    <sheetView workbookViewId="0">
      <selection activeCell="F41" sqref="F41"/>
    </sheetView>
  </sheetViews>
  <sheetFormatPr baseColWidth="10" defaultRowHeight="15" x14ac:dyDescent="0.25"/>
  <cols>
    <col min="1" max="1" width="21" customWidth="1"/>
    <col min="2" max="2" width="6.28515625" customWidth="1"/>
    <col min="13" max="13" width="13.85546875" customWidth="1"/>
    <col min="14" max="14" width="9.85546875" customWidth="1"/>
    <col min="15" max="15" width="10.140625" customWidth="1"/>
    <col min="16" max="16" width="12" customWidth="1"/>
    <col min="17" max="17" width="17.28515625" customWidth="1"/>
  </cols>
  <sheetData>
    <row r="1" spans="1:17" ht="21" x14ac:dyDescent="0.35">
      <c r="A1" s="2" t="s">
        <v>170</v>
      </c>
      <c r="B1" s="1"/>
    </row>
    <row r="3" spans="1:17" x14ac:dyDescent="0.25">
      <c r="A3" t="s">
        <v>141</v>
      </c>
    </row>
    <row r="4" spans="1:17" x14ac:dyDescent="0.25">
      <c r="A4" t="s">
        <v>220</v>
      </c>
    </row>
    <row r="6" spans="1:17" x14ac:dyDescent="0.25">
      <c r="A6" s="94" t="s">
        <v>148</v>
      </c>
      <c r="B6" s="95"/>
      <c r="C6" s="59" t="s">
        <v>149</v>
      </c>
      <c r="E6" s="156" t="s">
        <v>33</v>
      </c>
      <c r="F6" s="157"/>
      <c r="G6" s="158"/>
      <c r="H6" s="164" t="s">
        <v>207</v>
      </c>
      <c r="I6" s="165"/>
      <c r="J6" s="165"/>
      <c r="K6" s="163"/>
      <c r="L6" s="139">
        <v>8</v>
      </c>
      <c r="O6" s="137" t="s">
        <v>206</v>
      </c>
      <c r="Q6" s="97"/>
    </row>
    <row r="7" spans="1:17" x14ac:dyDescent="0.25">
      <c r="A7" s="98" t="s">
        <v>150</v>
      </c>
      <c r="B7" s="96"/>
      <c r="C7" s="166" t="s">
        <v>151</v>
      </c>
      <c r="D7" s="167"/>
      <c r="E7" s="138" t="s">
        <v>178</v>
      </c>
      <c r="F7" s="97"/>
      <c r="H7" s="162" t="s">
        <v>152</v>
      </c>
      <c r="I7" s="162"/>
      <c r="J7" s="162"/>
      <c r="K7" s="163"/>
      <c r="L7" s="140">
        <f>1-(COUNTIF(C13:L13,"Oui" )/10)</f>
        <v>0</v>
      </c>
      <c r="O7" s="153" t="s">
        <v>221</v>
      </c>
      <c r="P7" s="97"/>
      <c r="Q7" s="97"/>
    </row>
    <row r="8" spans="1:17" ht="15.75" thickBot="1" x14ac:dyDescent="0.3">
      <c r="A8" s="98"/>
      <c r="B8" s="96"/>
      <c r="H8" t="s">
        <v>208</v>
      </c>
      <c r="L8" s="152">
        <f>O119</f>
        <v>270000</v>
      </c>
      <c r="P8" s="97"/>
      <c r="Q8" s="97"/>
    </row>
    <row r="9" spans="1:17" ht="15.75" thickBot="1" x14ac:dyDescent="0.3">
      <c r="A9" s="97"/>
      <c r="B9" s="97"/>
      <c r="C9" s="100" t="s">
        <v>8</v>
      </c>
      <c r="D9" s="101" t="s">
        <v>9</v>
      </c>
      <c r="E9" s="101" t="s">
        <v>10</v>
      </c>
      <c r="F9" s="101" t="s">
        <v>137</v>
      </c>
      <c r="G9" s="101" t="s">
        <v>11</v>
      </c>
      <c r="H9" s="101" t="s">
        <v>138</v>
      </c>
      <c r="I9" s="101" t="s">
        <v>139</v>
      </c>
      <c r="J9" s="101" t="s">
        <v>12</v>
      </c>
      <c r="K9" s="101" t="s">
        <v>13</v>
      </c>
      <c r="L9" s="102" t="s">
        <v>105</v>
      </c>
    </row>
    <row r="10" spans="1:17" x14ac:dyDescent="0.25">
      <c r="A10" s="103" t="s">
        <v>153</v>
      </c>
      <c r="B10" s="97"/>
      <c r="C10" s="136">
        <v>120</v>
      </c>
      <c r="D10" s="104">
        <v>120</v>
      </c>
      <c r="E10" s="104">
        <v>120</v>
      </c>
      <c r="F10" s="104">
        <v>120</v>
      </c>
      <c r="G10" s="104">
        <v>120</v>
      </c>
      <c r="H10" s="104">
        <v>120</v>
      </c>
      <c r="I10" s="104">
        <v>120</v>
      </c>
      <c r="J10" s="104">
        <v>120</v>
      </c>
      <c r="K10" s="104">
        <v>120</v>
      </c>
      <c r="L10" s="135">
        <v>120</v>
      </c>
    </row>
    <row r="11" spans="1:17" x14ac:dyDescent="0.25">
      <c r="A11" s="103" t="s">
        <v>154</v>
      </c>
      <c r="B11" s="97"/>
      <c r="C11" s="105">
        <f>15*L6</f>
        <v>120</v>
      </c>
      <c r="D11" s="105">
        <f>15*L6</f>
        <v>120</v>
      </c>
      <c r="E11" s="105">
        <f>15*L6</f>
        <v>120</v>
      </c>
      <c r="F11" s="105">
        <f>15*L6</f>
        <v>120</v>
      </c>
      <c r="G11" s="105">
        <f>15*L6</f>
        <v>120</v>
      </c>
      <c r="H11" s="105">
        <f>15*L6</f>
        <v>120</v>
      </c>
      <c r="I11" s="105">
        <f>15*L6</f>
        <v>120</v>
      </c>
      <c r="J11" s="105">
        <f>15*L6</f>
        <v>120</v>
      </c>
      <c r="K11" s="105">
        <f>15*L6</f>
        <v>120</v>
      </c>
      <c r="L11" s="105">
        <f>15*L6</f>
        <v>120</v>
      </c>
    </row>
    <row r="12" spans="1:17" x14ac:dyDescent="0.25">
      <c r="A12" s="103" t="s">
        <v>155</v>
      </c>
      <c r="B12" s="97"/>
      <c r="C12" s="106">
        <f>C119</f>
        <v>120</v>
      </c>
      <c r="D12" s="106">
        <f>D119</f>
        <v>150</v>
      </c>
      <c r="E12" s="106">
        <f t="shared" ref="E12:L12" si="0">E119</f>
        <v>100</v>
      </c>
      <c r="F12" s="106">
        <f t="shared" si="0"/>
        <v>240</v>
      </c>
      <c r="G12" s="106">
        <f t="shared" si="0"/>
        <v>0</v>
      </c>
      <c r="H12" s="106">
        <f t="shared" si="0"/>
        <v>270</v>
      </c>
      <c r="I12" s="106">
        <f t="shared" si="0"/>
        <v>0</v>
      </c>
      <c r="J12" s="106">
        <f t="shared" si="0"/>
        <v>410</v>
      </c>
      <c r="K12" s="106">
        <f t="shared" si="0"/>
        <v>0</v>
      </c>
      <c r="L12" s="106">
        <f t="shared" si="0"/>
        <v>110</v>
      </c>
    </row>
    <row r="13" spans="1:17" x14ac:dyDescent="0.25">
      <c r="A13" s="88" t="s">
        <v>156</v>
      </c>
      <c r="B13" s="97"/>
      <c r="C13" s="107" t="str">
        <f>IF((C10-C11) &gt;= 0,"Oui","Non")</f>
        <v>Oui</v>
      </c>
      <c r="D13" s="107" t="str">
        <f t="shared" ref="D13:L13" si="1">IF((D10-D11) &gt;= 0,"Oui","Non")</f>
        <v>Oui</v>
      </c>
      <c r="E13" s="107" t="str">
        <f t="shared" si="1"/>
        <v>Oui</v>
      </c>
      <c r="F13" s="107" t="str">
        <f t="shared" si="1"/>
        <v>Oui</v>
      </c>
      <c r="G13" s="107" t="str">
        <f t="shared" si="1"/>
        <v>Oui</v>
      </c>
      <c r="H13" s="107" t="str">
        <f t="shared" si="1"/>
        <v>Oui</v>
      </c>
      <c r="I13" s="107" t="str">
        <f t="shared" si="1"/>
        <v>Oui</v>
      </c>
      <c r="J13" s="107" t="str">
        <f t="shared" si="1"/>
        <v>Oui</v>
      </c>
      <c r="K13" s="107" t="str">
        <f t="shared" si="1"/>
        <v>Oui</v>
      </c>
      <c r="L13" s="107" t="str">
        <f t="shared" si="1"/>
        <v>Oui</v>
      </c>
    </row>
    <row r="14" spans="1:17" x14ac:dyDescent="0.25">
      <c r="A14" s="103" t="s">
        <v>157</v>
      </c>
      <c r="B14" s="97"/>
      <c r="C14" s="108">
        <f>IF(C13="OUI",C10-C11+C12,C10+C12)</f>
        <v>120</v>
      </c>
      <c r="D14" s="108">
        <f>IF(D13="OUI",D10-D11+D12,D10+D12)</f>
        <v>150</v>
      </c>
      <c r="E14" s="108">
        <f t="shared" ref="E14:L14" si="2">IF(E13="OUI",E10-E11+E12,E10+E12)</f>
        <v>100</v>
      </c>
      <c r="F14" s="108">
        <f t="shared" si="2"/>
        <v>240</v>
      </c>
      <c r="G14" s="108">
        <f t="shared" si="2"/>
        <v>0</v>
      </c>
      <c r="H14" s="108">
        <f t="shared" si="2"/>
        <v>270</v>
      </c>
      <c r="I14" s="108">
        <f t="shared" si="2"/>
        <v>0</v>
      </c>
      <c r="J14" s="108">
        <f t="shared" si="2"/>
        <v>410</v>
      </c>
      <c r="K14" s="108">
        <f t="shared" si="2"/>
        <v>0</v>
      </c>
      <c r="L14" s="108">
        <f t="shared" si="2"/>
        <v>110</v>
      </c>
    </row>
    <row r="15" spans="1:17" x14ac:dyDescent="0.25">
      <c r="A15" s="103" t="s">
        <v>162</v>
      </c>
      <c r="B15" s="97"/>
      <c r="C15" s="142">
        <v>20</v>
      </c>
      <c r="D15" s="142"/>
      <c r="E15" s="142">
        <v>45</v>
      </c>
      <c r="F15" s="142"/>
      <c r="G15" s="142"/>
      <c r="H15" s="142"/>
      <c r="I15" s="142">
        <v>120</v>
      </c>
      <c r="J15" s="142"/>
      <c r="K15" s="142">
        <v>105</v>
      </c>
      <c r="L15" s="142"/>
    </row>
    <row r="16" spans="1:17" x14ac:dyDescent="0.25">
      <c r="A16" s="103" t="s">
        <v>165</v>
      </c>
      <c r="B16" s="97"/>
      <c r="C16" s="142"/>
      <c r="D16" s="142"/>
      <c r="E16" s="142"/>
      <c r="F16" s="142"/>
      <c r="G16" s="142"/>
      <c r="H16" s="142"/>
      <c r="I16" s="142"/>
      <c r="J16" s="142"/>
      <c r="K16" s="142"/>
      <c r="L16" s="142"/>
    </row>
    <row r="17" spans="1:17" x14ac:dyDescent="0.25">
      <c r="A17" s="103" t="s">
        <v>163</v>
      </c>
      <c r="B17" s="97"/>
      <c r="C17" s="141"/>
      <c r="D17" s="141">
        <v>30</v>
      </c>
      <c r="E17" s="141"/>
      <c r="F17" s="141"/>
      <c r="G17" s="141"/>
      <c r="H17" s="141">
        <v>120</v>
      </c>
      <c r="I17" s="141"/>
      <c r="J17" s="141">
        <v>220</v>
      </c>
      <c r="K17" s="141"/>
      <c r="L17" s="141"/>
    </row>
    <row r="18" spans="1:17" x14ac:dyDescent="0.25">
      <c r="A18" s="103" t="s">
        <v>164</v>
      </c>
      <c r="B18" s="97"/>
      <c r="C18" s="141"/>
      <c r="D18" s="141"/>
      <c r="E18" s="141"/>
      <c r="F18" s="141"/>
      <c r="G18" s="141"/>
      <c r="H18" s="141"/>
      <c r="I18" s="141"/>
      <c r="J18" s="141"/>
      <c r="K18" s="141"/>
      <c r="L18" s="141"/>
    </row>
    <row r="19" spans="1:17" x14ac:dyDescent="0.25">
      <c r="A19" s="109" t="s">
        <v>158</v>
      </c>
      <c r="B19" s="97"/>
      <c r="C19" s="110">
        <f>C14+C15+C16-C17-C18</f>
        <v>140</v>
      </c>
      <c r="D19" s="110">
        <f>D14+D15+D16-D17-D18</f>
        <v>120</v>
      </c>
      <c r="E19" s="110">
        <f t="shared" ref="E19:K19" si="3">E14+E15+E16-E17-E18</f>
        <v>145</v>
      </c>
      <c r="F19" s="110">
        <f>F14+F15+F16-F17-F18</f>
        <v>240</v>
      </c>
      <c r="G19" s="110">
        <f t="shared" si="3"/>
        <v>0</v>
      </c>
      <c r="H19" s="110">
        <f t="shared" si="3"/>
        <v>150</v>
      </c>
      <c r="I19" s="110">
        <f t="shared" si="3"/>
        <v>120</v>
      </c>
      <c r="J19" s="110">
        <f t="shared" si="3"/>
        <v>190</v>
      </c>
      <c r="K19" s="110">
        <f t="shared" si="3"/>
        <v>105</v>
      </c>
      <c r="L19" s="110">
        <f>L14+L15+L16-L17-L18</f>
        <v>110</v>
      </c>
    </row>
    <row r="20" spans="1:17" x14ac:dyDescent="0.25">
      <c r="A20" s="103" t="s">
        <v>161</v>
      </c>
      <c r="B20" s="97"/>
      <c r="C20" s="111">
        <f>(COUNTIF(M27:M111,"Possédée")+COUNTIF(M27:M111,"Assiégée"))*15</f>
        <v>120</v>
      </c>
      <c r="D20" s="111">
        <f>(COUNTIF(M27:M111,"Possédée")+COUNTIF(M27:M111,"Assiégée"))*15</f>
        <v>120</v>
      </c>
      <c r="E20" s="111">
        <f>(COUNTIF(M27:M111,"Possédée")+COUNTIF(M27:M111,"Assiégée"))*15</f>
        <v>120</v>
      </c>
      <c r="F20" s="111">
        <f>(COUNTIF(M27:M111,"Possédée")+COUNTIF(M27:M111,"Assiégée"))*15</f>
        <v>120</v>
      </c>
      <c r="G20" s="111">
        <f>(COUNTIF(M27:M111,"Possédée")+COUNTIF(M27:M111,"Assiégée"))*15</f>
        <v>120</v>
      </c>
      <c r="H20" s="111">
        <f>(COUNTIF(M27:M111,"Possédée")+COUNTIF(M27:M111,"Assiégée"))*15</f>
        <v>120</v>
      </c>
      <c r="I20" s="111">
        <f>(COUNTIF(M27:M111,"Possédée")+COUNTIF(M27:M111,"Assiégée"))*15</f>
        <v>120</v>
      </c>
      <c r="J20" s="111">
        <f>(COUNTIF(M27:M111,"Possédée")+COUNTIF(M27:M111,"Assiégée"))*15</f>
        <v>120</v>
      </c>
      <c r="K20" s="111">
        <f>(COUNTIF(M27:M111,"Possédée")+COUNTIF(M27:M111,"Assiégée"))*15</f>
        <v>120</v>
      </c>
      <c r="L20" s="111">
        <f>(COUNTIF(M27:M111,"Possédée")+COUNTIF(M27:M111,"Assiégée"))*15</f>
        <v>120</v>
      </c>
    </row>
    <row r="21" spans="1:17" x14ac:dyDescent="0.25">
      <c r="A21" s="103" t="s">
        <v>159</v>
      </c>
      <c r="B21" s="97"/>
      <c r="C21" s="112">
        <f>C19-C20</f>
        <v>20</v>
      </c>
      <c r="D21" s="112">
        <f t="shared" ref="D21:L21" si="4">D19-D20</f>
        <v>0</v>
      </c>
      <c r="E21" s="112">
        <f>E19-E20</f>
        <v>25</v>
      </c>
      <c r="F21" s="112">
        <f>F19-F20</f>
        <v>120</v>
      </c>
      <c r="G21" s="112">
        <f t="shared" si="4"/>
        <v>-120</v>
      </c>
      <c r="H21" s="112">
        <f t="shared" si="4"/>
        <v>30</v>
      </c>
      <c r="I21" s="112">
        <f t="shared" si="4"/>
        <v>0</v>
      </c>
      <c r="J21" s="112">
        <f t="shared" si="4"/>
        <v>70</v>
      </c>
      <c r="K21" s="112">
        <f t="shared" si="4"/>
        <v>-15</v>
      </c>
      <c r="L21" s="112">
        <f t="shared" si="4"/>
        <v>-10</v>
      </c>
    </row>
    <row r="22" spans="1:17" x14ac:dyDescent="0.25">
      <c r="A22" s="103"/>
      <c r="B22" s="97"/>
    </row>
    <row r="23" spans="1:17" x14ac:dyDescent="0.25">
      <c r="O23" s="99" t="s">
        <v>176</v>
      </c>
    </row>
    <row r="24" spans="1:17" ht="15.75" thickBot="1" x14ac:dyDescent="0.3">
      <c r="A24" s="114" t="s">
        <v>160</v>
      </c>
      <c r="H24" s="97"/>
      <c r="I24" s="97"/>
      <c r="J24" s="97"/>
    </row>
    <row r="25" spans="1:17" ht="15.75" thickBot="1" x14ac:dyDescent="0.3">
      <c r="A25" s="121" t="s">
        <v>168</v>
      </c>
      <c r="B25" s="75" t="s">
        <v>167</v>
      </c>
      <c r="C25" s="159" t="s">
        <v>169</v>
      </c>
      <c r="D25" s="160"/>
      <c r="E25" s="160"/>
      <c r="F25" s="160"/>
      <c r="G25" s="160"/>
      <c r="H25" s="160"/>
      <c r="I25" s="160"/>
      <c r="J25" s="160"/>
      <c r="K25" s="160"/>
      <c r="L25" s="161"/>
      <c r="M25" s="129" t="s">
        <v>171</v>
      </c>
      <c r="N25" s="115" t="s">
        <v>172</v>
      </c>
      <c r="O25" s="129" t="s">
        <v>213</v>
      </c>
      <c r="P25" s="154" t="s">
        <v>203</v>
      </c>
      <c r="Q25" s="155"/>
    </row>
    <row r="26" spans="1:17" ht="15.75" thickBot="1" x14ac:dyDescent="0.3">
      <c r="A26" s="3" t="s">
        <v>22</v>
      </c>
      <c r="B26" s="120" t="s">
        <v>166</v>
      </c>
      <c r="C26" s="91" t="s">
        <v>8</v>
      </c>
      <c r="D26" s="92" t="s">
        <v>9</v>
      </c>
      <c r="E26" s="92" t="s">
        <v>10</v>
      </c>
      <c r="F26" s="92" t="s">
        <v>137</v>
      </c>
      <c r="G26" s="92" t="s">
        <v>11</v>
      </c>
      <c r="H26" s="92" t="s">
        <v>138</v>
      </c>
      <c r="I26" s="92" t="s">
        <v>139</v>
      </c>
      <c r="J26" s="92" t="s">
        <v>12</v>
      </c>
      <c r="K26" s="92" t="s">
        <v>13</v>
      </c>
      <c r="L26" s="93" t="s">
        <v>105</v>
      </c>
      <c r="M26" s="130" t="s">
        <v>175</v>
      </c>
      <c r="N26" s="118" t="s">
        <v>177</v>
      </c>
      <c r="O26" s="130" t="s">
        <v>214</v>
      </c>
      <c r="P26" s="147" t="s">
        <v>204</v>
      </c>
      <c r="Q26" s="148" t="s">
        <v>205</v>
      </c>
    </row>
    <row r="27" spans="1:17" x14ac:dyDescent="0.25">
      <c r="A27" t="s">
        <v>0</v>
      </c>
      <c r="B27" s="115">
        <v>15</v>
      </c>
      <c r="C27" s="15"/>
      <c r="D27" s="15"/>
      <c r="E27" s="15"/>
      <c r="F27" s="15"/>
      <c r="G27" s="15"/>
      <c r="H27" s="15"/>
      <c r="I27" s="15">
        <f>TRUNC(90*Q27*(1-L7)*(1-N27))</f>
        <v>0</v>
      </c>
      <c r="J27" s="15"/>
      <c r="K27" s="15"/>
      <c r="L27" s="16">
        <f>TRUNC(120*Q27*(1-L7)*(1-N27))</f>
        <v>0</v>
      </c>
      <c r="M27" s="126" t="s">
        <v>173</v>
      </c>
      <c r="N27" s="123">
        <v>0</v>
      </c>
      <c r="O27" s="149">
        <f>IF(E$6="Archipel de l'Automne",60000*Q27*(1-L$7)*(1-N27),30000*Q27*(1-L$7)*(1-N27))</f>
        <v>0</v>
      </c>
      <c r="P27" s="143">
        <f>IF(OR(M27="Possédée",M27="Assiégée"),B27,0)</f>
        <v>0</v>
      </c>
      <c r="Q27" s="144">
        <f>IF(M27="Possédée",1,IF(M27="Assiégée",0.5,0))</f>
        <v>0</v>
      </c>
    </row>
    <row r="28" spans="1:17" x14ac:dyDescent="0.25">
      <c r="A28" t="s">
        <v>1</v>
      </c>
      <c r="B28" s="116">
        <v>15</v>
      </c>
      <c r="C28" s="17"/>
      <c r="D28" s="17"/>
      <c r="E28" s="17"/>
      <c r="F28" s="17"/>
      <c r="G28" s="17">
        <f>TRUNC(30*Q28*(1-L7)*(1-N28))</f>
        <v>0</v>
      </c>
      <c r="H28" s="17"/>
      <c r="I28" s="17"/>
      <c r="J28" s="17"/>
      <c r="K28" s="17"/>
      <c r="L28" s="18">
        <f>TRUNC(140*Q28*(1-L7)*(1-N28))</f>
        <v>0</v>
      </c>
      <c r="M28" s="127" t="s">
        <v>173</v>
      </c>
      <c r="N28" s="124">
        <v>0</v>
      </c>
      <c r="O28" s="150">
        <f>30000*Q28*(1-L$7)*(1-N28)</f>
        <v>0</v>
      </c>
      <c r="P28" s="145">
        <f>IF(OR(M28="Possédée",M28="Assiégée"),B28,0)</f>
        <v>0</v>
      </c>
      <c r="Q28" s="146">
        <f t="shared" ref="Q28:Q91" si="5">IF(M28="Possédée",1,IF(M28="Assiégée",0.5,0))</f>
        <v>0</v>
      </c>
    </row>
    <row r="29" spans="1:17" x14ac:dyDescent="0.25">
      <c r="A29" t="s">
        <v>2</v>
      </c>
      <c r="B29" s="116">
        <v>15</v>
      </c>
      <c r="C29" s="17">
        <f>TRUNC(60*Q29*(1-L7)*(1-N29))</f>
        <v>0</v>
      </c>
      <c r="D29" s="17"/>
      <c r="E29" s="17"/>
      <c r="F29" s="17"/>
      <c r="G29" s="17"/>
      <c r="H29" s="17"/>
      <c r="I29" s="17">
        <f>TRUNC(110*Q29*(1-L7)*(1-N29))</f>
        <v>0</v>
      </c>
      <c r="J29" s="17"/>
      <c r="K29" s="17"/>
      <c r="L29" s="18"/>
      <c r="M29" s="127" t="s">
        <v>173</v>
      </c>
      <c r="N29" s="124">
        <v>0</v>
      </c>
      <c r="O29" s="150">
        <f t="shared" ref="O29:O34" si="6">30000*Q29*(1-L$7)*(1-N29)</f>
        <v>0</v>
      </c>
      <c r="P29" s="145">
        <f t="shared" ref="P29:P92" si="7">IF(OR(M29="Possédée",M29="Assiégée"),B29,0)</f>
        <v>0</v>
      </c>
      <c r="Q29" s="146">
        <f t="shared" si="5"/>
        <v>0</v>
      </c>
    </row>
    <row r="30" spans="1:17" x14ac:dyDescent="0.25">
      <c r="A30" t="s">
        <v>3</v>
      </c>
      <c r="B30" s="116">
        <v>15</v>
      </c>
      <c r="C30" s="17">
        <f>TRUNC(40*Q30*(1-L7)*(1-N30))</f>
        <v>0</v>
      </c>
      <c r="D30" s="17"/>
      <c r="E30" s="17"/>
      <c r="F30" s="17"/>
      <c r="G30" s="17"/>
      <c r="H30" s="17"/>
      <c r="I30" s="17">
        <f>TRUNC(60*Q30*(1-L7)*(1-N30))</f>
        <v>0</v>
      </c>
      <c r="J30" s="17"/>
      <c r="K30" s="17">
        <f>TRUNC(70*Q30*(1-L7)*(1-N30))</f>
        <v>0</v>
      </c>
      <c r="L30" s="18"/>
      <c r="M30" s="127" t="s">
        <v>173</v>
      </c>
      <c r="N30" s="124">
        <v>0</v>
      </c>
      <c r="O30" s="150">
        <f t="shared" si="6"/>
        <v>0</v>
      </c>
      <c r="P30" s="145">
        <f t="shared" si="7"/>
        <v>0</v>
      </c>
      <c r="Q30" s="146">
        <f t="shared" si="5"/>
        <v>0</v>
      </c>
    </row>
    <row r="31" spans="1:17" x14ac:dyDescent="0.25">
      <c r="A31" t="s">
        <v>4</v>
      </c>
      <c r="B31" s="116">
        <v>15</v>
      </c>
      <c r="C31" s="17"/>
      <c r="D31" s="17"/>
      <c r="E31" s="17"/>
      <c r="F31" s="17"/>
      <c r="G31" s="17"/>
      <c r="H31" s="17"/>
      <c r="I31" s="17">
        <f>TRUNC(80*Q31*(1-L7)*(1-N31))</f>
        <v>0</v>
      </c>
      <c r="J31" s="17"/>
      <c r="K31" s="17"/>
      <c r="L31" s="18">
        <f>TRUNC(90*Q31*(1-L7)*(1-N31))</f>
        <v>0</v>
      </c>
      <c r="M31" s="127" t="s">
        <v>173</v>
      </c>
      <c r="N31" s="124">
        <v>0</v>
      </c>
      <c r="O31" s="150">
        <f t="shared" si="6"/>
        <v>0</v>
      </c>
      <c r="P31" s="145">
        <f t="shared" si="7"/>
        <v>0</v>
      </c>
      <c r="Q31" s="146">
        <f t="shared" si="5"/>
        <v>0</v>
      </c>
    </row>
    <row r="32" spans="1:17" x14ac:dyDescent="0.25">
      <c r="A32" t="s">
        <v>5</v>
      </c>
      <c r="B32" s="116">
        <v>15</v>
      </c>
      <c r="C32" s="17"/>
      <c r="D32" s="17"/>
      <c r="E32" s="17"/>
      <c r="F32" s="17"/>
      <c r="G32" s="17"/>
      <c r="H32" s="17"/>
      <c r="I32" s="17"/>
      <c r="J32" s="17"/>
      <c r="K32" s="17">
        <f>TRUNC(170*Q32*(1-L7)*(1-N32))</f>
        <v>0</v>
      </c>
      <c r="L32" s="18"/>
      <c r="M32" s="127" t="s">
        <v>173</v>
      </c>
      <c r="N32" s="124">
        <v>0</v>
      </c>
      <c r="O32" s="150">
        <f t="shared" si="6"/>
        <v>0</v>
      </c>
      <c r="P32" s="145">
        <f t="shared" si="7"/>
        <v>0</v>
      </c>
      <c r="Q32" s="146">
        <f t="shared" si="5"/>
        <v>0</v>
      </c>
    </row>
    <row r="33" spans="1:17" x14ac:dyDescent="0.25">
      <c r="A33" t="s">
        <v>6</v>
      </c>
      <c r="B33" s="116">
        <v>15</v>
      </c>
      <c r="C33" s="17">
        <f>TRUNC(40*Q33*(1-L7)*(1-N33))</f>
        <v>0</v>
      </c>
      <c r="D33" s="17"/>
      <c r="E33" s="17"/>
      <c r="F33" s="17">
        <f>TRUNC(130*Q33*(1-L7)*(1-N33))</f>
        <v>0</v>
      </c>
      <c r="G33" s="17"/>
      <c r="H33" s="17"/>
      <c r="I33" s="17"/>
      <c r="J33" s="17"/>
      <c r="K33" s="17"/>
      <c r="L33" s="18"/>
      <c r="M33" s="127" t="s">
        <v>173</v>
      </c>
      <c r="N33" s="124">
        <v>0</v>
      </c>
      <c r="O33" s="150">
        <f t="shared" si="6"/>
        <v>0</v>
      </c>
      <c r="P33" s="145">
        <f t="shared" si="7"/>
        <v>0</v>
      </c>
      <c r="Q33" s="146">
        <f t="shared" si="5"/>
        <v>0</v>
      </c>
    </row>
    <row r="34" spans="1:17" ht="15.75" thickBot="1" x14ac:dyDescent="0.3">
      <c r="A34" t="s">
        <v>7</v>
      </c>
      <c r="B34" s="116">
        <v>15</v>
      </c>
      <c r="C34" s="17"/>
      <c r="D34" s="17">
        <f>TRUNC(70*Q34*(1-L7)*(1-N34))</f>
        <v>0</v>
      </c>
      <c r="E34" s="17"/>
      <c r="F34" s="17"/>
      <c r="G34" s="17"/>
      <c r="H34" s="17"/>
      <c r="I34" s="17"/>
      <c r="J34" s="17"/>
      <c r="K34" s="17"/>
      <c r="L34" s="18">
        <f>TRUNC(100*Q34*(1-L7)*(1-N34))</f>
        <v>0</v>
      </c>
      <c r="M34" s="127" t="s">
        <v>173</v>
      </c>
      <c r="N34" s="124">
        <v>0</v>
      </c>
      <c r="O34" s="150">
        <f t="shared" si="6"/>
        <v>0</v>
      </c>
      <c r="P34" s="145">
        <f>IF(OR(M34="Possédée",M34="Assiégée"),B34,0)</f>
        <v>0</v>
      </c>
      <c r="Q34" s="146">
        <f t="shared" si="5"/>
        <v>0</v>
      </c>
    </row>
    <row r="35" spans="1:17" ht="15.75" thickBot="1" x14ac:dyDescent="0.3">
      <c r="A35" s="10" t="s">
        <v>23</v>
      </c>
      <c r="B35" s="117" t="s">
        <v>166</v>
      </c>
      <c r="C35" s="91" t="s">
        <v>8</v>
      </c>
      <c r="D35" s="92" t="s">
        <v>9</v>
      </c>
      <c r="E35" s="92" t="s">
        <v>10</v>
      </c>
      <c r="F35" s="92" t="s">
        <v>137</v>
      </c>
      <c r="G35" s="92" t="s">
        <v>11</v>
      </c>
      <c r="H35" s="92" t="s">
        <v>138</v>
      </c>
      <c r="I35" s="92" t="s">
        <v>139</v>
      </c>
      <c r="J35" s="92" t="s">
        <v>12</v>
      </c>
      <c r="K35" s="92" t="s">
        <v>13</v>
      </c>
      <c r="L35" s="93" t="s">
        <v>105</v>
      </c>
      <c r="M35" s="93"/>
      <c r="N35" s="93"/>
      <c r="O35" s="151"/>
      <c r="P35" s="147"/>
      <c r="Q35" s="148"/>
    </row>
    <row r="36" spans="1:17" x14ac:dyDescent="0.25">
      <c r="A36" t="s">
        <v>14</v>
      </c>
      <c r="B36" s="115">
        <v>15</v>
      </c>
      <c r="C36" s="19"/>
      <c r="D36" s="17"/>
      <c r="E36" s="17">
        <f>TRUNC(60*Q36*(1-L7)*(1-N36))</f>
        <v>0</v>
      </c>
      <c r="F36" s="17"/>
      <c r="G36" s="17">
        <f>TRUNC(150*Q36*(1-L7)*(1-N36))</f>
        <v>0</v>
      </c>
      <c r="H36" s="17"/>
      <c r="I36" s="17"/>
      <c r="J36" s="17"/>
      <c r="K36" s="17"/>
      <c r="L36" s="18"/>
      <c r="M36" s="127" t="s">
        <v>173</v>
      </c>
      <c r="N36" s="124">
        <v>0</v>
      </c>
      <c r="O36" s="149">
        <f>IF(E$6="Bordeciel",60000*Q36*(1-L$7)*(1-N36),30000*Q36*(1-L$7)*(1-N36))</f>
        <v>0</v>
      </c>
      <c r="P36" s="145">
        <f t="shared" si="7"/>
        <v>0</v>
      </c>
      <c r="Q36" s="146">
        <f t="shared" si="5"/>
        <v>0</v>
      </c>
    </row>
    <row r="37" spans="1:17" x14ac:dyDescent="0.25">
      <c r="A37" t="s">
        <v>15</v>
      </c>
      <c r="B37" s="116">
        <v>15</v>
      </c>
      <c r="C37" s="19"/>
      <c r="D37" s="17"/>
      <c r="E37" s="17"/>
      <c r="F37" s="17"/>
      <c r="G37" s="17"/>
      <c r="H37" s="17"/>
      <c r="I37" s="17"/>
      <c r="J37" s="17"/>
      <c r="K37" s="17">
        <f>TRUNC(170*Q37*(1-L7)*(1-N37))</f>
        <v>0</v>
      </c>
      <c r="L37" s="18"/>
      <c r="M37" s="127" t="s">
        <v>173</v>
      </c>
      <c r="N37" s="124">
        <v>0</v>
      </c>
      <c r="O37" s="150">
        <f>30000*Q37*(1-L$7)*(1-N37)</f>
        <v>0</v>
      </c>
      <c r="P37" s="145">
        <f t="shared" si="7"/>
        <v>0</v>
      </c>
      <c r="Q37" s="146">
        <f t="shared" si="5"/>
        <v>0</v>
      </c>
    </row>
    <row r="38" spans="1:17" x14ac:dyDescent="0.25">
      <c r="A38" t="s">
        <v>16</v>
      </c>
      <c r="B38" s="116">
        <v>15</v>
      </c>
      <c r="C38" s="19"/>
      <c r="D38" s="17">
        <f>TRUNC(130*Q38*(1-L7)*(1-N38))</f>
        <v>0</v>
      </c>
      <c r="E38" s="17"/>
      <c r="F38" s="17"/>
      <c r="G38" s="17">
        <f>TRUNC(40*Q38*(1-L7)*(1-N38))</f>
        <v>0</v>
      </c>
      <c r="H38" s="17"/>
      <c r="I38" s="17"/>
      <c r="J38" s="17"/>
      <c r="K38" s="17"/>
      <c r="L38" s="18"/>
      <c r="M38" s="127" t="s">
        <v>173</v>
      </c>
      <c r="N38" s="124">
        <v>0</v>
      </c>
      <c r="O38" s="150">
        <f t="shared" ref="O38:O43" si="8">30000*Q38*(1-L$7)*(1-N38)</f>
        <v>0</v>
      </c>
      <c r="P38" s="145">
        <f t="shared" si="7"/>
        <v>0</v>
      </c>
      <c r="Q38" s="146">
        <f t="shared" si="5"/>
        <v>0</v>
      </c>
    </row>
    <row r="39" spans="1:17" x14ac:dyDescent="0.25">
      <c r="A39" t="s">
        <v>17</v>
      </c>
      <c r="B39" s="116">
        <v>15</v>
      </c>
      <c r="C39" s="19">
        <f>TRUNC(70*Q39*(1-L7)*(1-N39))</f>
        <v>0</v>
      </c>
      <c r="D39" s="17">
        <f>TRUNC(60*Q39*(1-L7)*(1-N39))</f>
        <v>0</v>
      </c>
      <c r="E39" s="17">
        <f>TRUNC(40*Q39*(1-L7)*(1-N39))</f>
        <v>0</v>
      </c>
      <c r="F39" s="17"/>
      <c r="G39" s="17"/>
      <c r="H39" s="17"/>
      <c r="I39" s="17"/>
      <c r="J39" s="17"/>
      <c r="K39" s="17"/>
      <c r="L39" s="18"/>
      <c r="M39" s="127" t="s">
        <v>173</v>
      </c>
      <c r="N39" s="124">
        <v>0</v>
      </c>
      <c r="O39" s="150">
        <f t="shared" si="8"/>
        <v>0</v>
      </c>
      <c r="P39" s="145">
        <f t="shared" si="7"/>
        <v>0</v>
      </c>
      <c r="Q39" s="146">
        <f t="shared" si="5"/>
        <v>0</v>
      </c>
    </row>
    <row r="40" spans="1:17" x14ac:dyDescent="0.25">
      <c r="A40" t="s">
        <v>18</v>
      </c>
      <c r="B40" s="116">
        <v>15</v>
      </c>
      <c r="C40" s="19"/>
      <c r="D40" s="17">
        <f>TRUNC(20*Q40*(1-L7)*(1-N40))</f>
        <v>0</v>
      </c>
      <c r="E40" s="17"/>
      <c r="F40" s="17">
        <f>TRUNC(100*Q40*(1-L7)*(1-N40))</f>
        <v>0</v>
      </c>
      <c r="G40" s="17">
        <f>TRUNC(50*Q40*(1-L7)*(1-N40))</f>
        <v>0</v>
      </c>
      <c r="H40" s="17"/>
      <c r="I40" s="17"/>
      <c r="J40" s="17"/>
      <c r="K40" s="17"/>
      <c r="L40" s="18"/>
      <c r="M40" s="127" t="s">
        <v>173</v>
      </c>
      <c r="N40" s="124">
        <v>0</v>
      </c>
      <c r="O40" s="150">
        <f t="shared" si="8"/>
        <v>0</v>
      </c>
      <c r="P40" s="145">
        <f t="shared" si="7"/>
        <v>0</v>
      </c>
      <c r="Q40" s="146">
        <f t="shared" si="5"/>
        <v>0</v>
      </c>
    </row>
    <row r="41" spans="1:17" x14ac:dyDescent="0.25">
      <c r="A41" t="s">
        <v>19</v>
      </c>
      <c r="B41" s="116">
        <v>15</v>
      </c>
      <c r="C41" s="19"/>
      <c r="D41" s="17"/>
      <c r="E41" s="17"/>
      <c r="F41" s="17"/>
      <c r="G41" s="17">
        <f>TRUNC(170*Q41*(1-L7)*(1-N41))</f>
        <v>0</v>
      </c>
      <c r="H41" s="17"/>
      <c r="I41" s="17"/>
      <c r="J41" s="17"/>
      <c r="K41" s="17"/>
      <c r="L41" s="18"/>
      <c r="M41" s="127" t="s">
        <v>173</v>
      </c>
      <c r="N41" s="124">
        <v>0</v>
      </c>
      <c r="O41" s="150">
        <f t="shared" si="8"/>
        <v>0</v>
      </c>
      <c r="P41" s="145">
        <f t="shared" si="7"/>
        <v>0</v>
      </c>
      <c r="Q41" s="146">
        <f t="shared" si="5"/>
        <v>0</v>
      </c>
    </row>
    <row r="42" spans="1:17" x14ac:dyDescent="0.25">
      <c r="A42" t="s">
        <v>20</v>
      </c>
      <c r="B42" s="116">
        <v>15</v>
      </c>
      <c r="C42" s="19"/>
      <c r="D42" s="17"/>
      <c r="E42" s="17">
        <f>TRUNC(90*Q42*(1-L7)*(1-N42))</f>
        <v>0</v>
      </c>
      <c r="F42" s="17">
        <f>TRUNC(40*Q42*(1-L7)*(1-N42))</f>
        <v>0</v>
      </c>
      <c r="G42" s="17"/>
      <c r="H42" s="17"/>
      <c r="I42" s="17"/>
      <c r="J42" s="17"/>
      <c r="K42" s="17">
        <f>TRUNC(40*Q42*(1-L7)*(1-N42))</f>
        <v>0</v>
      </c>
      <c r="L42" s="18"/>
      <c r="M42" s="127" t="s">
        <v>173</v>
      </c>
      <c r="N42" s="124">
        <v>0</v>
      </c>
      <c r="O42" s="150">
        <f t="shared" si="8"/>
        <v>0</v>
      </c>
      <c r="P42" s="145">
        <f t="shared" si="7"/>
        <v>0</v>
      </c>
      <c r="Q42" s="146">
        <f t="shared" si="5"/>
        <v>0</v>
      </c>
    </row>
    <row r="43" spans="1:17" ht="15.75" thickBot="1" x14ac:dyDescent="0.3">
      <c r="A43" t="s">
        <v>21</v>
      </c>
      <c r="B43" s="116">
        <v>15</v>
      </c>
      <c r="C43" s="19"/>
      <c r="D43" s="17"/>
      <c r="E43" s="17"/>
      <c r="F43" s="17"/>
      <c r="G43" s="17">
        <f>TRUNC(70*Q43*(1-L7)*(1-N43))</f>
        <v>0</v>
      </c>
      <c r="H43" s="17"/>
      <c r="I43" s="17"/>
      <c r="J43" s="17"/>
      <c r="K43" s="17">
        <f>TRUNC(100*Q43*(1-L7)*(1-N43))</f>
        <v>0</v>
      </c>
      <c r="L43" s="18"/>
      <c r="M43" s="127" t="s">
        <v>173</v>
      </c>
      <c r="N43" s="124">
        <v>0</v>
      </c>
      <c r="O43" s="150">
        <f t="shared" si="8"/>
        <v>0</v>
      </c>
      <c r="P43" s="145">
        <f t="shared" si="7"/>
        <v>0</v>
      </c>
      <c r="Q43" s="146">
        <f t="shared" si="5"/>
        <v>0</v>
      </c>
    </row>
    <row r="44" spans="1:17" ht="15.75" thickBot="1" x14ac:dyDescent="0.3">
      <c r="A44" s="3" t="s">
        <v>24</v>
      </c>
      <c r="B44" s="117" t="s">
        <v>166</v>
      </c>
      <c r="C44" s="91" t="s">
        <v>8</v>
      </c>
      <c r="D44" s="92" t="s">
        <v>9</v>
      </c>
      <c r="E44" s="92" t="s">
        <v>10</v>
      </c>
      <c r="F44" s="92" t="s">
        <v>137</v>
      </c>
      <c r="G44" s="92" t="s">
        <v>11</v>
      </c>
      <c r="H44" s="92" t="s">
        <v>138</v>
      </c>
      <c r="I44" s="92" t="s">
        <v>139</v>
      </c>
      <c r="J44" s="92" t="s">
        <v>12</v>
      </c>
      <c r="K44" s="92" t="s">
        <v>13</v>
      </c>
      <c r="L44" s="93" t="s">
        <v>105</v>
      </c>
      <c r="M44" s="93"/>
      <c r="N44" s="93"/>
      <c r="O44" s="151"/>
      <c r="P44" s="147"/>
      <c r="Q44" s="148"/>
    </row>
    <row r="45" spans="1:17" x14ac:dyDescent="0.25">
      <c r="A45" t="s">
        <v>25</v>
      </c>
      <c r="B45" s="115">
        <v>15</v>
      </c>
      <c r="C45" s="15"/>
      <c r="D45" s="15">
        <f>TRUNC(20*Q45*(1-L7)*(1-N45))</f>
        <v>0</v>
      </c>
      <c r="E45" s="15"/>
      <c r="F45" s="15"/>
      <c r="G45" s="15"/>
      <c r="H45" s="15"/>
      <c r="I45" s="15">
        <f>TRUNC(150*Q45*(1-L7)*(1-N45))</f>
        <v>0</v>
      </c>
      <c r="J45" s="15"/>
      <c r="K45" s="15"/>
      <c r="L45" s="16">
        <f>TRUNC(40*Q45*(1-L7)*(1-N45))</f>
        <v>0</v>
      </c>
      <c r="M45" s="127" t="s">
        <v>173</v>
      </c>
      <c r="N45" s="124">
        <v>0</v>
      </c>
      <c r="O45" s="149">
        <f>IF(E$6="Cyrodiil",60000*Q45*(1-L$7)*(1-N45),30000*Q45*(1-L$7)*(1-N45))</f>
        <v>0</v>
      </c>
      <c r="P45" s="145">
        <f t="shared" si="7"/>
        <v>0</v>
      </c>
      <c r="Q45" s="146">
        <f t="shared" si="5"/>
        <v>0</v>
      </c>
    </row>
    <row r="46" spans="1:17" x14ac:dyDescent="0.25">
      <c r="A46" t="s">
        <v>27</v>
      </c>
      <c r="B46" s="116">
        <v>15</v>
      </c>
      <c r="C46" s="17"/>
      <c r="D46" s="17">
        <f>TRUNC(120*Q46*(1-L7)*(1-N46))</f>
        <v>0</v>
      </c>
      <c r="E46" s="17">
        <f>TRUNC(50*Q46*(1-L7)*(1-N46))</f>
        <v>0</v>
      </c>
      <c r="F46" s="17"/>
      <c r="G46" s="17"/>
      <c r="H46" s="17"/>
      <c r="I46" s="17"/>
      <c r="J46" s="17"/>
      <c r="K46" s="17"/>
      <c r="L46" s="18"/>
      <c r="M46" s="127" t="s">
        <v>173</v>
      </c>
      <c r="N46" s="124">
        <v>0</v>
      </c>
      <c r="O46" s="150">
        <f>30000*Q46*(1-L$7)*(1-N46)</f>
        <v>0</v>
      </c>
      <c r="P46" s="145">
        <f t="shared" si="7"/>
        <v>0</v>
      </c>
      <c r="Q46" s="146">
        <f t="shared" si="5"/>
        <v>0</v>
      </c>
    </row>
    <row r="47" spans="1:17" x14ac:dyDescent="0.25">
      <c r="A47" t="s">
        <v>26</v>
      </c>
      <c r="B47" s="116">
        <v>15</v>
      </c>
      <c r="C47" s="17"/>
      <c r="D47" s="17">
        <f>TRUNC(60*Q47*(1-L7)*(1-N47))</f>
        <v>0</v>
      </c>
      <c r="E47" s="17">
        <f>TRUNC(110*Q47*(1-L7)*(1-N47))</f>
        <v>0</v>
      </c>
      <c r="F47" s="17"/>
      <c r="G47" s="17"/>
      <c r="H47" s="17"/>
      <c r="I47" s="17"/>
      <c r="J47" s="17"/>
      <c r="K47" s="17"/>
      <c r="L47" s="18"/>
      <c r="M47" s="127" t="s">
        <v>173</v>
      </c>
      <c r="N47" s="124">
        <v>0</v>
      </c>
      <c r="O47" s="150">
        <f>30000*Q47*(1-L$7)*(1-N47)</f>
        <v>0</v>
      </c>
      <c r="P47" s="145">
        <f t="shared" si="7"/>
        <v>0</v>
      </c>
      <c r="Q47" s="146">
        <f t="shared" si="5"/>
        <v>0</v>
      </c>
    </row>
    <row r="48" spans="1:17" x14ac:dyDescent="0.25">
      <c r="A48" t="s">
        <v>28</v>
      </c>
      <c r="B48" s="116">
        <v>15</v>
      </c>
      <c r="C48" s="17"/>
      <c r="D48" s="17">
        <f>TRUNC(170*Q48*(1-L7)*(1-N48))</f>
        <v>0</v>
      </c>
      <c r="E48" s="17"/>
      <c r="F48" s="17"/>
      <c r="G48" s="17"/>
      <c r="H48" s="17"/>
      <c r="I48" s="17"/>
      <c r="J48" s="17"/>
      <c r="K48" s="17"/>
      <c r="L48" s="18"/>
      <c r="M48" s="127" t="s">
        <v>173</v>
      </c>
      <c r="N48" s="124">
        <v>0</v>
      </c>
      <c r="O48" s="150">
        <f t="shared" ref="O48:O53" si="9">30000*Q48*(1-L$7)*(1-N48)</f>
        <v>0</v>
      </c>
      <c r="P48" s="145">
        <f t="shared" si="7"/>
        <v>0</v>
      </c>
      <c r="Q48" s="146">
        <f t="shared" si="5"/>
        <v>0</v>
      </c>
    </row>
    <row r="49" spans="1:17" x14ac:dyDescent="0.25">
      <c r="A49" t="s">
        <v>29</v>
      </c>
      <c r="B49" s="116">
        <v>15</v>
      </c>
      <c r="C49" s="17"/>
      <c r="D49" s="17"/>
      <c r="E49" s="17"/>
      <c r="F49" s="17"/>
      <c r="G49" s="17"/>
      <c r="H49" s="17"/>
      <c r="I49" s="17"/>
      <c r="J49" s="17">
        <f>TRUNC(170*Q49*(1-L7)*(1-N49))</f>
        <v>0</v>
      </c>
      <c r="K49" s="17"/>
      <c r="L49" s="18"/>
      <c r="M49" s="127" t="s">
        <v>173</v>
      </c>
      <c r="N49" s="124">
        <v>0</v>
      </c>
      <c r="O49" s="150">
        <f t="shared" si="9"/>
        <v>0</v>
      </c>
      <c r="P49" s="145">
        <f t="shared" si="7"/>
        <v>0</v>
      </c>
      <c r="Q49" s="146">
        <f t="shared" si="5"/>
        <v>0</v>
      </c>
    </row>
    <row r="50" spans="1:17" x14ac:dyDescent="0.25">
      <c r="A50" t="s">
        <v>58</v>
      </c>
      <c r="B50" s="116">
        <v>15</v>
      </c>
      <c r="C50" s="17">
        <f>TRUNC(170*Q50*(1-L7)*(1-N50))</f>
        <v>0</v>
      </c>
      <c r="D50" s="17"/>
      <c r="E50" s="17"/>
      <c r="F50" s="17"/>
      <c r="G50" s="17"/>
      <c r="H50" s="17"/>
      <c r="I50" s="17"/>
      <c r="J50" s="17"/>
      <c r="K50" s="17"/>
      <c r="L50" s="18"/>
      <c r="M50" s="127" t="s">
        <v>173</v>
      </c>
      <c r="N50" s="124">
        <v>0</v>
      </c>
      <c r="O50" s="150">
        <f t="shared" si="9"/>
        <v>0</v>
      </c>
      <c r="P50" s="145">
        <f t="shared" si="7"/>
        <v>0</v>
      </c>
      <c r="Q50" s="146">
        <f t="shared" si="5"/>
        <v>0</v>
      </c>
    </row>
    <row r="51" spans="1:17" x14ac:dyDescent="0.25">
      <c r="A51" t="s">
        <v>30</v>
      </c>
      <c r="B51" s="116">
        <v>15</v>
      </c>
      <c r="C51" s="17">
        <f>TRUNC(100*Q51*(1-L7)*(1-N51))</f>
        <v>0</v>
      </c>
      <c r="D51" s="17"/>
      <c r="E51" s="17"/>
      <c r="F51" s="17"/>
      <c r="G51" s="17"/>
      <c r="H51" s="17"/>
      <c r="I51" s="17"/>
      <c r="J51" s="17">
        <f>TRUNC(70*Q51*(1-L7)*(1-N51))</f>
        <v>0</v>
      </c>
      <c r="K51" s="17"/>
      <c r="L51" s="18"/>
      <c r="M51" s="127" t="s">
        <v>173</v>
      </c>
      <c r="N51" s="124">
        <v>0</v>
      </c>
      <c r="O51" s="150">
        <f t="shared" si="9"/>
        <v>0</v>
      </c>
      <c r="P51" s="145">
        <f t="shared" si="7"/>
        <v>0</v>
      </c>
      <c r="Q51" s="146">
        <f t="shared" si="5"/>
        <v>0</v>
      </c>
    </row>
    <row r="52" spans="1:17" x14ac:dyDescent="0.25">
      <c r="A52" t="s">
        <v>31</v>
      </c>
      <c r="B52" s="116">
        <v>15</v>
      </c>
      <c r="C52" s="17">
        <f>TRUNC(90*Q52*(1-L7)*(1-N52))</f>
        <v>90</v>
      </c>
      <c r="D52" s="17"/>
      <c r="E52" s="17">
        <f>TRUNC(40*Q52*(1-L7)*(1-N52))</f>
        <v>40</v>
      </c>
      <c r="F52" s="17">
        <f>TRUNC(40*Q52*(1-L7)*(1-N52))</f>
        <v>40</v>
      </c>
      <c r="G52" s="17"/>
      <c r="H52" s="17"/>
      <c r="I52" s="17"/>
      <c r="J52" s="17"/>
      <c r="K52" s="17"/>
      <c r="L52" s="18"/>
      <c r="M52" s="127" t="s">
        <v>174</v>
      </c>
      <c r="N52" s="124">
        <v>0</v>
      </c>
      <c r="O52" s="150">
        <f t="shared" si="9"/>
        <v>30000</v>
      </c>
      <c r="P52" s="145">
        <f t="shared" si="7"/>
        <v>15</v>
      </c>
      <c r="Q52" s="146">
        <f t="shared" si="5"/>
        <v>1</v>
      </c>
    </row>
    <row r="53" spans="1:17" ht="15.75" thickBot="1" x14ac:dyDescent="0.3">
      <c r="A53" t="s">
        <v>32</v>
      </c>
      <c r="B53" s="118">
        <v>15</v>
      </c>
      <c r="C53" s="20">
        <f>TRUNC(110*Q53*(1-L7)*(1-N53))</f>
        <v>0</v>
      </c>
      <c r="D53" s="21"/>
      <c r="E53" s="21"/>
      <c r="F53" s="21"/>
      <c r="G53" s="21"/>
      <c r="H53" s="21">
        <f>TRUNC(60*Q53*(1-L7)*(1-N53))</f>
        <v>0</v>
      </c>
      <c r="I53" s="21"/>
      <c r="J53" s="21"/>
      <c r="K53" s="21"/>
      <c r="L53" s="22"/>
      <c r="M53" s="127" t="s">
        <v>173</v>
      </c>
      <c r="N53" s="124">
        <v>0</v>
      </c>
      <c r="O53" s="150">
        <f t="shared" si="9"/>
        <v>0</v>
      </c>
      <c r="P53" s="145">
        <f t="shared" si="7"/>
        <v>0</v>
      </c>
      <c r="Q53" s="146">
        <f t="shared" si="5"/>
        <v>0</v>
      </c>
    </row>
    <row r="54" spans="1:17" ht="15.75" thickBot="1" x14ac:dyDescent="0.3">
      <c r="A54" s="3" t="s">
        <v>33</v>
      </c>
      <c r="B54" s="117" t="s">
        <v>166</v>
      </c>
      <c r="C54" s="91" t="s">
        <v>8</v>
      </c>
      <c r="D54" s="92" t="s">
        <v>9</v>
      </c>
      <c r="E54" s="92" t="s">
        <v>10</v>
      </c>
      <c r="F54" s="92" t="s">
        <v>137</v>
      </c>
      <c r="G54" s="92" t="s">
        <v>11</v>
      </c>
      <c r="H54" s="92" t="s">
        <v>138</v>
      </c>
      <c r="I54" s="92" t="s">
        <v>139</v>
      </c>
      <c r="J54" s="92" t="s">
        <v>12</v>
      </c>
      <c r="K54" s="92" t="s">
        <v>13</v>
      </c>
      <c r="L54" s="93" t="s">
        <v>105</v>
      </c>
      <c r="M54" s="93"/>
      <c r="N54" s="93"/>
      <c r="O54" s="151"/>
      <c r="P54" s="147"/>
      <c r="Q54" s="148"/>
    </row>
    <row r="55" spans="1:17" x14ac:dyDescent="0.25">
      <c r="A55" t="s">
        <v>34</v>
      </c>
      <c r="B55" s="115">
        <v>15</v>
      </c>
      <c r="C55" s="15"/>
      <c r="D55" s="15">
        <f>TRUNC(150*Q55*(1-L7)*(1-N55))</f>
        <v>150</v>
      </c>
      <c r="E55" s="15"/>
      <c r="F55" s="15"/>
      <c r="G55" s="15"/>
      <c r="H55" s="15"/>
      <c r="I55" s="15"/>
      <c r="J55" s="15">
        <f>TRUNC(60*Q55*(1-L7)*(1-N55))</f>
        <v>60</v>
      </c>
      <c r="K55" s="15"/>
      <c r="L55" s="16"/>
      <c r="M55" s="127" t="s">
        <v>174</v>
      </c>
      <c r="N55" s="124">
        <v>0</v>
      </c>
      <c r="O55" s="149">
        <f>IF(E$6="Elsweyr",60000*Q55*(1-L$7)*(1-N55),30000*Q55*(1-L$7)*(1-N55))</f>
        <v>60000</v>
      </c>
      <c r="P55" s="145">
        <f t="shared" si="7"/>
        <v>15</v>
      </c>
      <c r="Q55" s="146">
        <f t="shared" si="5"/>
        <v>1</v>
      </c>
    </row>
    <row r="56" spans="1:17" x14ac:dyDescent="0.25">
      <c r="A56" t="s">
        <v>35</v>
      </c>
      <c r="B56" s="116">
        <v>15</v>
      </c>
      <c r="C56" s="17"/>
      <c r="D56" s="17"/>
      <c r="E56" s="17"/>
      <c r="F56" s="17">
        <f>TRUNC(70*Q56*(1-L7)*(1-N56))</f>
        <v>70</v>
      </c>
      <c r="G56" s="17"/>
      <c r="H56" s="17">
        <f>TRUNC(100*Q56*(1-L7)*(1-N56))</f>
        <v>100</v>
      </c>
      <c r="I56" s="17"/>
      <c r="J56" s="17"/>
      <c r="K56" s="17"/>
      <c r="L56" s="18"/>
      <c r="M56" s="127" t="s">
        <v>174</v>
      </c>
      <c r="N56" s="124">
        <v>0</v>
      </c>
      <c r="O56" s="150">
        <f t="shared" ref="O56:O61" si="10">30000*Q56*(1-L$7)*(1-N56)</f>
        <v>30000</v>
      </c>
      <c r="P56" s="145">
        <f t="shared" si="7"/>
        <v>15</v>
      </c>
      <c r="Q56" s="146">
        <f t="shared" si="5"/>
        <v>1</v>
      </c>
    </row>
    <row r="57" spans="1:17" x14ac:dyDescent="0.25">
      <c r="A57" t="s">
        <v>36</v>
      </c>
      <c r="B57" s="116">
        <v>15</v>
      </c>
      <c r="C57" s="17"/>
      <c r="D57" s="17"/>
      <c r="E57" s="17"/>
      <c r="F57" s="17"/>
      <c r="G57" s="17"/>
      <c r="H57" s="17"/>
      <c r="I57" s="17"/>
      <c r="J57" s="17">
        <f>TRUNC(170*Q57*(1-L7)*(1-N57))</f>
        <v>170</v>
      </c>
      <c r="K57" s="17"/>
      <c r="L57" s="18"/>
      <c r="M57" s="127" t="s">
        <v>174</v>
      </c>
      <c r="N57" s="124">
        <v>0</v>
      </c>
      <c r="O57" s="150">
        <f t="shared" si="10"/>
        <v>30000</v>
      </c>
      <c r="P57" s="145">
        <f t="shared" si="7"/>
        <v>15</v>
      </c>
      <c r="Q57" s="146">
        <f t="shared" si="5"/>
        <v>1</v>
      </c>
    </row>
    <row r="58" spans="1:17" x14ac:dyDescent="0.25">
      <c r="A58" t="s">
        <v>37</v>
      </c>
      <c r="B58" s="116">
        <v>15</v>
      </c>
      <c r="C58" s="17"/>
      <c r="D58" s="17"/>
      <c r="E58" s="17"/>
      <c r="F58" s="17"/>
      <c r="G58" s="17"/>
      <c r="H58" s="17">
        <f>TRUNC(170*Q58*(1-L7)*(1-N58))</f>
        <v>170</v>
      </c>
      <c r="I58" s="17"/>
      <c r="J58" s="17"/>
      <c r="K58" s="17"/>
      <c r="L58" s="18"/>
      <c r="M58" s="127" t="s">
        <v>174</v>
      </c>
      <c r="N58" s="124">
        <v>0</v>
      </c>
      <c r="O58" s="150">
        <f t="shared" si="10"/>
        <v>30000</v>
      </c>
      <c r="P58" s="145">
        <f t="shared" si="7"/>
        <v>15</v>
      </c>
      <c r="Q58" s="146">
        <f t="shared" si="5"/>
        <v>1</v>
      </c>
    </row>
    <row r="59" spans="1:17" x14ac:dyDescent="0.25">
      <c r="A59" t="s">
        <v>38</v>
      </c>
      <c r="B59" s="116">
        <v>15</v>
      </c>
      <c r="C59" s="17"/>
      <c r="D59" s="17"/>
      <c r="E59" s="17"/>
      <c r="F59" s="17">
        <f>TRUNC(130*Q59*(1-L7)*(1-N59))</f>
        <v>130</v>
      </c>
      <c r="G59" s="17"/>
      <c r="H59" s="17"/>
      <c r="I59" s="17"/>
      <c r="J59" s="17">
        <f>TRUNC(40*Q59*(1-L7)*(1-N59))</f>
        <v>40</v>
      </c>
      <c r="K59" s="17"/>
      <c r="L59" s="18"/>
      <c r="M59" s="127" t="s">
        <v>174</v>
      </c>
      <c r="N59" s="124">
        <v>0</v>
      </c>
      <c r="O59" s="150">
        <f t="shared" si="10"/>
        <v>30000</v>
      </c>
      <c r="P59" s="145">
        <f t="shared" si="7"/>
        <v>15</v>
      </c>
      <c r="Q59" s="146">
        <f t="shared" si="5"/>
        <v>1</v>
      </c>
    </row>
    <row r="60" spans="1:17" x14ac:dyDescent="0.25">
      <c r="A60" t="s">
        <v>39</v>
      </c>
      <c r="B60" s="116">
        <v>15</v>
      </c>
      <c r="C60" s="17"/>
      <c r="D60" s="17"/>
      <c r="E60" s="17"/>
      <c r="F60" s="17"/>
      <c r="G60" s="17"/>
      <c r="H60" s="17"/>
      <c r="I60" s="17"/>
      <c r="J60" s="17">
        <f>TRUNC(60*Q60*(1-L7)*(1-N60))</f>
        <v>60</v>
      </c>
      <c r="K60" s="17"/>
      <c r="L60" s="18">
        <f>TRUNC(110*Q60*(1-L7)*(1-N60))</f>
        <v>110</v>
      </c>
      <c r="M60" s="127" t="s">
        <v>174</v>
      </c>
      <c r="N60" s="124">
        <v>0</v>
      </c>
      <c r="O60" s="150">
        <f t="shared" si="10"/>
        <v>30000</v>
      </c>
      <c r="P60" s="145">
        <f t="shared" si="7"/>
        <v>15</v>
      </c>
      <c r="Q60" s="146">
        <f t="shared" si="5"/>
        <v>1</v>
      </c>
    </row>
    <row r="61" spans="1:17" ht="15.75" thickBot="1" x14ac:dyDescent="0.3">
      <c r="A61" t="s">
        <v>40</v>
      </c>
      <c r="B61" s="116">
        <v>15</v>
      </c>
      <c r="C61" s="17">
        <f>TRUNC(30*Q61*(1-L7)*(1-N61))</f>
        <v>30</v>
      </c>
      <c r="D61" s="17"/>
      <c r="E61" s="17">
        <f>TRUNC(60*Q61*(1-L7)*(1-N61))</f>
        <v>60</v>
      </c>
      <c r="F61" s="17"/>
      <c r="G61" s="17"/>
      <c r="H61" s="17"/>
      <c r="I61" s="17"/>
      <c r="J61" s="17">
        <f>TRUNC(80*Q61*(1-L7)*(1-N61))</f>
        <v>80</v>
      </c>
      <c r="K61" s="17"/>
      <c r="L61" s="18"/>
      <c r="M61" s="127" t="s">
        <v>174</v>
      </c>
      <c r="N61" s="124">
        <v>0</v>
      </c>
      <c r="O61" s="150">
        <f t="shared" si="10"/>
        <v>30000</v>
      </c>
      <c r="P61" s="145">
        <f t="shared" si="7"/>
        <v>15</v>
      </c>
      <c r="Q61" s="146">
        <f t="shared" si="5"/>
        <v>1</v>
      </c>
    </row>
    <row r="62" spans="1:17" ht="15.75" thickBot="1" x14ac:dyDescent="0.3">
      <c r="A62" s="3" t="s">
        <v>41</v>
      </c>
      <c r="B62" s="117" t="s">
        <v>166</v>
      </c>
      <c r="C62" s="91" t="s">
        <v>8</v>
      </c>
      <c r="D62" s="92" t="s">
        <v>9</v>
      </c>
      <c r="E62" s="92" t="s">
        <v>10</v>
      </c>
      <c r="F62" s="92" t="s">
        <v>137</v>
      </c>
      <c r="G62" s="92" t="s">
        <v>11</v>
      </c>
      <c r="H62" s="92" t="s">
        <v>138</v>
      </c>
      <c r="I62" s="92" t="s">
        <v>139</v>
      </c>
      <c r="J62" s="92" t="s">
        <v>12</v>
      </c>
      <c r="K62" s="92" t="s">
        <v>13</v>
      </c>
      <c r="L62" s="93" t="s">
        <v>105</v>
      </c>
      <c r="M62" s="93"/>
      <c r="N62" s="93"/>
      <c r="O62" s="151"/>
      <c r="P62" s="147"/>
      <c r="Q62" s="148"/>
    </row>
    <row r="63" spans="1:17" x14ac:dyDescent="0.25">
      <c r="A63" t="s">
        <v>42</v>
      </c>
      <c r="B63" s="115">
        <v>15</v>
      </c>
      <c r="C63" s="15"/>
      <c r="D63" s="15">
        <f>TRUNC(60*Q63*(1-L7)*(1-N63))</f>
        <v>0</v>
      </c>
      <c r="E63" s="15"/>
      <c r="F63" s="15"/>
      <c r="G63" s="15"/>
      <c r="H63" s="15"/>
      <c r="I63" s="15"/>
      <c r="J63" s="15"/>
      <c r="K63" s="15"/>
      <c r="L63" s="16">
        <f>TRUNC(150*Q63*(1-L7)*(1-N63))</f>
        <v>0</v>
      </c>
      <c r="M63" s="127" t="s">
        <v>173</v>
      </c>
      <c r="N63" s="124">
        <v>0</v>
      </c>
      <c r="O63" s="149">
        <f>IF(E$6="Hauteroche",60000*Q63*(1-L$7)*(1-N63),30000*Q63*(1-L$7)*(1-N63))</f>
        <v>0</v>
      </c>
      <c r="P63" s="145">
        <f t="shared" si="7"/>
        <v>0</v>
      </c>
      <c r="Q63" s="146">
        <f t="shared" si="5"/>
        <v>0</v>
      </c>
    </row>
    <row r="64" spans="1:17" x14ac:dyDescent="0.25">
      <c r="A64" t="s">
        <v>43</v>
      </c>
      <c r="B64" s="116">
        <v>15</v>
      </c>
      <c r="C64" s="17"/>
      <c r="D64" s="17">
        <f>TRUNC(70*Q64*(1-L7)*(1-N64))</f>
        <v>0</v>
      </c>
      <c r="E64" s="17"/>
      <c r="F64" s="17"/>
      <c r="G64" s="17"/>
      <c r="H64" s="17"/>
      <c r="I64" s="17"/>
      <c r="J64" s="17"/>
      <c r="K64" s="17"/>
      <c r="L64" s="18">
        <f>TRUNC(100*Q64*(1-L7)*(1-N64))</f>
        <v>0</v>
      </c>
      <c r="M64" s="127" t="s">
        <v>173</v>
      </c>
      <c r="N64" s="124">
        <v>0</v>
      </c>
      <c r="O64" s="150">
        <f t="shared" ref="O64:O70" si="11">30000*Q64*(1-L$7)*(1-N64)</f>
        <v>0</v>
      </c>
      <c r="P64" s="145">
        <f t="shared" si="7"/>
        <v>0</v>
      </c>
      <c r="Q64" s="146">
        <f t="shared" si="5"/>
        <v>0</v>
      </c>
    </row>
    <row r="65" spans="1:17" x14ac:dyDescent="0.25">
      <c r="A65" t="s">
        <v>44</v>
      </c>
      <c r="B65" s="116">
        <v>15</v>
      </c>
      <c r="C65" s="17"/>
      <c r="D65" s="17">
        <f>TRUNC(80*Q65*(1-L7)*(1-N65))</f>
        <v>0</v>
      </c>
      <c r="E65" s="17">
        <f>TRUNC(20*Q65*(1-L7)*(1-N65))</f>
        <v>0</v>
      </c>
      <c r="F65" s="17"/>
      <c r="G65" s="17"/>
      <c r="H65" s="17"/>
      <c r="I65" s="17"/>
      <c r="J65" s="17"/>
      <c r="K65" s="17">
        <f>TRUNC(70*Q65*(1-L7)*(1-N65))</f>
        <v>0</v>
      </c>
      <c r="L65" s="18"/>
      <c r="M65" s="127" t="s">
        <v>173</v>
      </c>
      <c r="N65" s="124">
        <v>0</v>
      </c>
      <c r="O65" s="150">
        <f t="shared" si="11"/>
        <v>0</v>
      </c>
      <c r="P65" s="145">
        <f t="shared" si="7"/>
        <v>0</v>
      </c>
      <c r="Q65" s="146">
        <f t="shared" si="5"/>
        <v>0</v>
      </c>
    </row>
    <row r="66" spans="1:17" x14ac:dyDescent="0.25">
      <c r="A66" t="s">
        <v>45</v>
      </c>
      <c r="B66" s="116">
        <v>15</v>
      </c>
      <c r="C66" s="17">
        <f>TRUNC(100*Q66*(1-L7)*(1-N66))</f>
        <v>0</v>
      </c>
      <c r="D66" s="17">
        <f>TRUNC(70*Q66*(1-L7)*(1-N66))</f>
        <v>0</v>
      </c>
      <c r="E66" s="17"/>
      <c r="F66" s="17"/>
      <c r="G66" s="17"/>
      <c r="H66" s="17"/>
      <c r="I66" s="17"/>
      <c r="J66" s="17"/>
      <c r="K66" s="17"/>
      <c r="L66" s="18"/>
      <c r="M66" s="127" t="s">
        <v>173</v>
      </c>
      <c r="N66" s="124">
        <v>0</v>
      </c>
      <c r="O66" s="150">
        <f t="shared" si="11"/>
        <v>0</v>
      </c>
      <c r="P66" s="145">
        <f t="shared" si="7"/>
        <v>0</v>
      </c>
      <c r="Q66" s="146">
        <f t="shared" si="5"/>
        <v>0</v>
      </c>
    </row>
    <row r="67" spans="1:17" x14ac:dyDescent="0.25">
      <c r="A67" t="s">
        <v>46</v>
      </c>
      <c r="B67" s="116">
        <v>15</v>
      </c>
      <c r="C67" s="17">
        <f>TRUNC(120*Q67*(1-L7)*(1-N67))</f>
        <v>0</v>
      </c>
      <c r="D67" s="17">
        <f>TRUNC(50*Q67*(1-L7)*(1-N67))</f>
        <v>0</v>
      </c>
      <c r="E67" s="17"/>
      <c r="F67" s="17"/>
      <c r="G67" s="17"/>
      <c r="H67" s="17"/>
      <c r="I67" s="17"/>
      <c r="J67" s="17"/>
      <c r="K67" s="17"/>
      <c r="L67" s="18"/>
      <c r="M67" s="127" t="s">
        <v>173</v>
      </c>
      <c r="N67" s="124">
        <v>0</v>
      </c>
      <c r="O67" s="150">
        <f t="shared" si="11"/>
        <v>0</v>
      </c>
      <c r="P67" s="145">
        <f t="shared" si="7"/>
        <v>0</v>
      </c>
      <c r="Q67" s="146">
        <f t="shared" si="5"/>
        <v>0</v>
      </c>
    </row>
    <row r="68" spans="1:17" x14ac:dyDescent="0.25">
      <c r="A68" t="s">
        <v>47</v>
      </c>
      <c r="B68" s="116">
        <v>15</v>
      </c>
      <c r="C68" s="17"/>
      <c r="D68" s="17"/>
      <c r="E68" s="17"/>
      <c r="F68" s="17"/>
      <c r="G68" s="17">
        <f>TRUNC(100*Q68*(1-L7)*(1-N68))</f>
        <v>0</v>
      </c>
      <c r="H68" s="17"/>
      <c r="I68" s="17"/>
      <c r="J68" s="17"/>
      <c r="K68" s="17"/>
      <c r="L68" s="18">
        <f>TRUNC(70*Q68*(1-L7)*(1-N68))</f>
        <v>0</v>
      </c>
      <c r="M68" s="127" t="s">
        <v>173</v>
      </c>
      <c r="N68" s="124">
        <v>0</v>
      </c>
      <c r="O68" s="150">
        <f t="shared" si="11"/>
        <v>0</v>
      </c>
      <c r="P68" s="145">
        <f t="shared" si="7"/>
        <v>0</v>
      </c>
      <c r="Q68" s="146">
        <f t="shared" si="5"/>
        <v>0</v>
      </c>
    </row>
    <row r="69" spans="1:17" x14ac:dyDescent="0.25">
      <c r="A69" t="s">
        <v>48</v>
      </c>
      <c r="B69" s="116">
        <v>15</v>
      </c>
      <c r="C69" s="17"/>
      <c r="D69" s="17">
        <f>TRUNC(90*Q69*(1-L7)*(1-N69))</f>
        <v>0</v>
      </c>
      <c r="E69" s="17"/>
      <c r="F69" s="17"/>
      <c r="G69" s="17"/>
      <c r="H69" s="17">
        <f>TRUNC(80*Q69*(1-L7)*(1-N69))</f>
        <v>0</v>
      </c>
      <c r="I69" s="17"/>
      <c r="J69" s="17"/>
      <c r="K69" s="17"/>
      <c r="L69" s="18"/>
      <c r="M69" s="127" t="s">
        <v>173</v>
      </c>
      <c r="N69" s="124">
        <v>0</v>
      </c>
      <c r="O69" s="150">
        <f t="shared" si="11"/>
        <v>0</v>
      </c>
      <c r="P69" s="145">
        <f t="shared" si="7"/>
        <v>0</v>
      </c>
      <c r="Q69" s="146">
        <f t="shared" si="5"/>
        <v>0</v>
      </c>
    </row>
    <row r="70" spans="1:17" ht="15.75" thickBot="1" x14ac:dyDescent="0.3">
      <c r="A70" t="s">
        <v>104</v>
      </c>
      <c r="B70" s="116">
        <v>15</v>
      </c>
      <c r="C70" s="17"/>
      <c r="D70" s="17"/>
      <c r="E70" s="17"/>
      <c r="F70" s="17"/>
      <c r="G70" s="17">
        <f>TRUNC(70*Q70*(1-L7)*(1-N70))</f>
        <v>0</v>
      </c>
      <c r="H70" s="17">
        <f>TRUNC(100*Q70*(1-L7)*(1-N70))</f>
        <v>0</v>
      </c>
      <c r="I70" s="17"/>
      <c r="J70" s="17"/>
      <c r="K70" s="17"/>
      <c r="L70" s="18"/>
      <c r="M70" s="127" t="s">
        <v>173</v>
      </c>
      <c r="N70" s="124">
        <v>0</v>
      </c>
      <c r="O70" s="150">
        <f t="shared" si="11"/>
        <v>0</v>
      </c>
      <c r="P70" s="145">
        <f t="shared" si="7"/>
        <v>0</v>
      </c>
      <c r="Q70" s="146">
        <f t="shared" si="5"/>
        <v>0</v>
      </c>
    </row>
    <row r="71" spans="1:17" ht="15.75" thickBot="1" x14ac:dyDescent="0.3">
      <c r="A71" s="3" t="s">
        <v>49</v>
      </c>
      <c r="B71" s="117" t="s">
        <v>166</v>
      </c>
      <c r="C71" s="91" t="s">
        <v>8</v>
      </c>
      <c r="D71" s="92" t="s">
        <v>9</v>
      </c>
      <c r="E71" s="92" t="s">
        <v>10</v>
      </c>
      <c r="F71" s="92" t="s">
        <v>137</v>
      </c>
      <c r="G71" s="92" t="s">
        <v>11</v>
      </c>
      <c r="H71" s="92" t="s">
        <v>138</v>
      </c>
      <c r="I71" s="92" t="s">
        <v>139</v>
      </c>
      <c r="J71" s="92" t="s">
        <v>12</v>
      </c>
      <c r="K71" s="92" t="s">
        <v>13</v>
      </c>
      <c r="L71" s="93" t="s">
        <v>105</v>
      </c>
      <c r="M71" s="93"/>
      <c r="N71" s="93"/>
      <c r="O71" s="151"/>
      <c r="P71" s="147"/>
      <c r="Q71" s="148"/>
    </row>
    <row r="72" spans="1:17" x14ac:dyDescent="0.25">
      <c r="A72" t="s">
        <v>50</v>
      </c>
      <c r="B72" s="115">
        <v>15</v>
      </c>
      <c r="C72" s="15"/>
      <c r="D72" s="15"/>
      <c r="E72" s="15"/>
      <c r="F72" s="15">
        <f>TRUNC(110*Q72*(1-L7)*(1-N72))</f>
        <v>0</v>
      </c>
      <c r="G72" s="15"/>
      <c r="H72" s="15"/>
      <c r="I72" s="15">
        <f>TRUNC(100*Q72*(1-L7)*(1-N72))</f>
        <v>0</v>
      </c>
      <c r="J72" s="15"/>
      <c r="K72" s="15"/>
      <c r="L72" s="16"/>
      <c r="M72" s="127" t="s">
        <v>173</v>
      </c>
      <c r="N72" s="124">
        <v>0</v>
      </c>
      <c r="O72" s="149">
        <f>IF(E$6="Lenclume",60000*Q72*(1-L$7)*(1-N72),30000*Q72*(1-L$7)*(1-N72))</f>
        <v>0</v>
      </c>
      <c r="P72" s="145">
        <f t="shared" si="7"/>
        <v>0</v>
      </c>
      <c r="Q72" s="146">
        <f t="shared" si="5"/>
        <v>0</v>
      </c>
    </row>
    <row r="73" spans="1:17" x14ac:dyDescent="0.25">
      <c r="A73" t="s">
        <v>51</v>
      </c>
      <c r="B73" s="116">
        <v>15</v>
      </c>
      <c r="C73" s="17"/>
      <c r="D73" s="17"/>
      <c r="E73" s="17"/>
      <c r="F73" s="17"/>
      <c r="G73" s="17">
        <f>TRUNC(60*Q73*(1-L7)*(1-N73))</f>
        <v>0</v>
      </c>
      <c r="H73" s="17"/>
      <c r="I73" s="17"/>
      <c r="J73" s="17">
        <f>TRUNC(110*Q73*(1-L7)*(1-N73))</f>
        <v>0</v>
      </c>
      <c r="K73" s="17"/>
      <c r="L73" s="18"/>
      <c r="M73" s="127" t="s">
        <v>173</v>
      </c>
      <c r="N73" s="124">
        <v>0</v>
      </c>
      <c r="O73" s="150">
        <f t="shared" ref="O73:O79" si="12">30000*Q73*(1-L$7)*(1-N73)</f>
        <v>0</v>
      </c>
      <c r="P73" s="145">
        <f t="shared" si="7"/>
        <v>0</v>
      </c>
      <c r="Q73" s="146">
        <f t="shared" si="5"/>
        <v>0</v>
      </c>
    </row>
    <row r="74" spans="1:17" x14ac:dyDescent="0.25">
      <c r="A74" t="s">
        <v>52</v>
      </c>
      <c r="B74" s="116">
        <v>15</v>
      </c>
      <c r="C74" s="17"/>
      <c r="D74" s="17"/>
      <c r="E74" s="17"/>
      <c r="F74" s="17">
        <f>TRUNC(120*Q74*(1-L7)*(1-N74))</f>
        <v>0</v>
      </c>
      <c r="G74" s="17"/>
      <c r="H74" s="17"/>
      <c r="I74" s="17"/>
      <c r="J74" s="17">
        <f>TRUNC(50*Q74*(1-L7)*(1-N74))</f>
        <v>0</v>
      </c>
      <c r="K74" s="17"/>
      <c r="L74" s="18"/>
      <c r="M74" s="127" t="s">
        <v>173</v>
      </c>
      <c r="N74" s="124">
        <v>0</v>
      </c>
      <c r="O74" s="150">
        <f t="shared" si="12"/>
        <v>0</v>
      </c>
      <c r="P74" s="145">
        <f t="shared" si="7"/>
        <v>0</v>
      </c>
      <c r="Q74" s="146">
        <f t="shared" si="5"/>
        <v>0</v>
      </c>
    </row>
    <row r="75" spans="1:17" x14ac:dyDescent="0.25">
      <c r="A75" t="s">
        <v>53</v>
      </c>
      <c r="B75" s="116">
        <v>15</v>
      </c>
      <c r="C75" s="17"/>
      <c r="D75" s="17"/>
      <c r="E75" s="17"/>
      <c r="F75" s="17">
        <f>TRUNC(170*Q75*(1-L7)*(1-N75))</f>
        <v>0</v>
      </c>
      <c r="G75" s="17"/>
      <c r="H75" s="17"/>
      <c r="I75" s="17"/>
      <c r="J75" s="17"/>
      <c r="K75" s="17"/>
      <c r="L75" s="18"/>
      <c r="M75" s="127" t="s">
        <v>173</v>
      </c>
      <c r="N75" s="124">
        <v>0</v>
      </c>
      <c r="O75" s="150">
        <f t="shared" si="12"/>
        <v>0</v>
      </c>
      <c r="P75" s="145">
        <f t="shared" si="7"/>
        <v>0</v>
      </c>
      <c r="Q75" s="146">
        <f t="shared" si="5"/>
        <v>0</v>
      </c>
    </row>
    <row r="76" spans="1:17" x14ac:dyDescent="0.25">
      <c r="A76" t="s">
        <v>54</v>
      </c>
      <c r="B76" s="116">
        <v>15</v>
      </c>
      <c r="C76" s="17"/>
      <c r="D76" s="17"/>
      <c r="E76" s="17"/>
      <c r="F76" s="17"/>
      <c r="G76" s="17"/>
      <c r="H76" s="17"/>
      <c r="I76" s="17"/>
      <c r="J76" s="17">
        <f>TRUNC(170*Q76*(1-L7)*(1-N76))</f>
        <v>0</v>
      </c>
      <c r="K76" s="17"/>
      <c r="L76" s="18"/>
      <c r="M76" s="127" t="s">
        <v>173</v>
      </c>
      <c r="N76" s="124">
        <v>0</v>
      </c>
      <c r="O76" s="150">
        <f t="shared" si="12"/>
        <v>0</v>
      </c>
      <c r="P76" s="145">
        <f t="shared" si="7"/>
        <v>0</v>
      </c>
      <c r="Q76" s="146">
        <f t="shared" si="5"/>
        <v>0</v>
      </c>
    </row>
    <row r="77" spans="1:17" x14ac:dyDescent="0.25">
      <c r="A77" t="s">
        <v>55</v>
      </c>
      <c r="B77" s="116">
        <v>15</v>
      </c>
      <c r="C77" s="17"/>
      <c r="D77" s="17"/>
      <c r="E77" s="17">
        <f>TRUNC(120*Q77*(1-L7)*(1-N77))</f>
        <v>0</v>
      </c>
      <c r="F77" s="17"/>
      <c r="G77" s="17"/>
      <c r="H77" s="17"/>
      <c r="I77" s="17"/>
      <c r="J77" s="17"/>
      <c r="K77" s="17">
        <f>TRUNC(50*Q77*(1-L7)*(1-N77))</f>
        <v>0</v>
      </c>
      <c r="L77" s="18"/>
      <c r="M77" s="127" t="s">
        <v>173</v>
      </c>
      <c r="N77" s="124">
        <v>0</v>
      </c>
      <c r="O77" s="150">
        <f t="shared" si="12"/>
        <v>0</v>
      </c>
      <c r="P77" s="145">
        <f t="shared" si="7"/>
        <v>0</v>
      </c>
      <c r="Q77" s="146">
        <f t="shared" si="5"/>
        <v>0</v>
      </c>
    </row>
    <row r="78" spans="1:17" x14ac:dyDescent="0.25">
      <c r="A78" t="s">
        <v>56</v>
      </c>
      <c r="B78" s="116">
        <v>15</v>
      </c>
      <c r="C78" s="17"/>
      <c r="D78" s="17"/>
      <c r="E78" s="17">
        <f>TRUNC(120*Q78*(1-L7)*(1-N78))</f>
        <v>0</v>
      </c>
      <c r="F78" s="17"/>
      <c r="G78" s="17"/>
      <c r="H78" s="17"/>
      <c r="I78" s="17">
        <f>TRUNC(50*Q78*(1-L7)*(1-N78))</f>
        <v>0</v>
      </c>
      <c r="J78" s="17"/>
      <c r="K78" s="17"/>
      <c r="L78" s="18"/>
      <c r="M78" s="127" t="s">
        <v>173</v>
      </c>
      <c r="N78" s="124">
        <v>0</v>
      </c>
      <c r="O78" s="150">
        <f t="shared" si="12"/>
        <v>0</v>
      </c>
      <c r="P78" s="145">
        <f t="shared" si="7"/>
        <v>0</v>
      </c>
      <c r="Q78" s="146">
        <f t="shared" si="5"/>
        <v>0</v>
      </c>
    </row>
    <row r="79" spans="1:17" ht="15.75" thickBot="1" x14ac:dyDescent="0.3">
      <c r="A79" t="s">
        <v>57</v>
      </c>
      <c r="B79" s="116">
        <v>15</v>
      </c>
      <c r="C79" s="17"/>
      <c r="D79" s="17"/>
      <c r="E79" s="17"/>
      <c r="F79" s="17">
        <f>TRUNC(30*Q79*(1-L7)*(1-N79))</f>
        <v>0</v>
      </c>
      <c r="G79" s="17">
        <f>TRUNC(40*Q79*(1-L7)*(1-N79))</f>
        <v>0</v>
      </c>
      <c r="H79" s="17"/>
      <c r="I79" s="17"/>
      <c r="J79" s="17"/>
      <c r="K79" s="17">
        <f>TRUNC(100*Q79*(1-L7)*(1-N79))</f>
        <v>0</v>
      </c>
      <c r="L79" s="18"/>
      <c r="M79" s="127" t="s">
        <v>173</v>
      </c>
      <c r="N79" s="124">
        <v>0</v>
      </c>
      <c r="O79" s="150">
        <f t="shared" si="12"/>
        <v>0</v>
      </c>
      <c r="P79" s="145">
        <f t="shared" si="7"/>
        <v>0</v>
      </c>
      <c r="Q79" s="146">
        <f t="shared" si="5"/>
        <v>0</v>
      </c>
    </row>
    <row r="80" spans="1:17" ht="15.75" thickBot="1" x14ac:dyDescent="0.3">
      <c r="A80" s="3" t="s">
        <v>59</v>
      </c>
      <c r="B80" s="117" t="s">
        <v>166</v>
      </c>
      <c r="C80" s="91" t="s">
        <v>8</v>
      </c>
      <c r="D80" s="92" t="s">
        <v>9</v>
      </c>
      <c r="E80" s="92" t="s">
        <v>10</v>
      </c>
      <c r="F80" s="92" t="s">
        <v>137</v>
      </c>
      <c r="G80" s="92" t="s">
        <v>11</v>
      </c>
      <c r="H80" s="92" t="s">
        <v>138</v>
      </c>
      <c r="I80" s="92" t="s">
        <v>139</v>
      </c>
      <c r="J80" s="92" t="s">
        <v>12</v>
      </c>
      <c r="K80" s="92" t="s">
        <v>13</v>
      </c>
      <c r="L80" s="93" t="s">
        <v>105</v>
      </c>
      <c r="M80" s="93"/>
      <c r="N80" s="93"/>
      <c r="O80" s="151"/>
      <c r="P80" s="147"/>
      <c r="Q80" s="148"/>
    </row>
    <row r="81" spans="1:17" x14ac:dyDescent="0.25">
      <c r="A81" t="s">
        <v>60</v>
      </c>
      <c r="B81" s="115">
        <v>15</v>
      </c>
      <c r="C81" s="15"/>
      <c r="D81" s="15"/>
      <c r="E81" s="15"/>
      <c r="F81" s="15">
        <f>TRUNC(40*Q81*(1-L7)*(1-N81))</f>
        <v>0</v>
      </c>
      <c r="G81" s="15"/>
      <c r="H81" s="15">
        <f>TRUNC(120*Q81*(1-L7)*(1-N81))</f>
        <v>0</v>
      </c>
      <c r="I81" s="15">
        <f>TRUNC(TRUNC(20*Q81*(1-L7)*(1-N81)))</f>
        <v>0</v>
      </c>
      <c r="J81" s="15"/>
      <c r="K81" s="15"/>
      <c r="L81" s="16">
        <f>TRUNC(20*Q81*(1-L7)*(1-N81))</f>
        <v>0</v>
      </c>
      <c r="M81" s="127" t="s">
        <v>173</v>
      </c>
      <c r="N81" s="124">
        <v>0</v>
      </c>
      <c r="O81" s="149">
        <f>IF(E$6="Marais Noir",60000*Q81*(1-L$7)*(1-N81),30000*Q81*(1-L$7)*(1-N81))</f>
        <v>0</v>
      </c>
      <c r="P81" s="145">
        <f t="shared" si="7"/>
        <v>0</v>
      </c>
      <c r="Q81" s="146">
        <f t="shared" si="5"/>
        <v>0</v>
      </c>
    </row>
    <row r="82" spans="1:17" x14ac:dyDescent="0.25">
      <c r="A82" t="s">
        <v>61</v>
      </c>
      <c r="B82" s="116">
        <v>15</v>
      </c>
      <c r="C82" s="17">
        <f>TRUNC(30*Q82*(1-L7)*(1-N82))</f>
        <v>0</v>
      </c>
      <c r="D82" s="17"/>
      <c r="E82" s="17"/>
      <c r="F82" s="17"/>
      <c r="G82" s="17"/>
      <c r="H82" s="17"/>
      <c r="I82" s="17"/>
      <c r="J82" s="17">
        <f>TRUNC(140*Q82*(1-L7)*(1-N82))</f>
        <v>0</v>
      </c>
      <c r="K82" s="17"/>
      <c r="L82" s="18"/>
      <c r="M82" s="127" t="s">
        <v>173</v>
      </c>
      <c r="N82" s="124">
        <v>0</v>
      </c>
      <c r="O82" s="150">
        <f t="shared" ref="O82:O88" si="13">30000*Q82*(1-L$7)*(1-N82)</f>
        <v>0</v>
      </c>
      <c r="P82" s="145">
        <f t="shared" si="7"/>
        <v>0</v>
      </c>
      <c r="Q82" s="146">
        <f t="shared" si="5"/>
        <v>0</v>
      </c>
    </row>
    <row r="83" spans="1:17" x14ac:dyDescent="0.25">
      <c r="A83" t="s">
        <v>62</v>
      </c>
      <c r="B83" s="116">
        <v>15</v>
      </c>
      <c r="C83" s="17"/>
      <c r="D83" s="17"/>
      <c r="E83" s="17"/>
      <c r="F83" s="17">
        <f>TRUNC(170*Q83*(1-L7)*(1-N83))</f>
        <v>0</v>
      </c>
      <c r="G83" s="17"/>
      <c r="H83" s="17"/>
      <c r="I83" s="17"/>
      <c r="J83" s="17"/>
      <c r="K83" s="17"/>
      <c r="L83" s="18"/>
      <c r="M83" s="127" t="s">
        <v>173</v>
      </c>
      <c r="N83" s="124">
        <v>0</v>
      </c>
      <c r="O83" s="150">
        <f t="shared" si="13"/>
        <v>0</v>
      </c>
      <c r="P83" s="145">
        <f t="shared" si="7"/>
        <v>0</v>
      </c>
      <c r="Q83" s="146">
        <f t="shared" si="5"/>
        <v>0</v>
      </c>
    </row>
    <row r="84" spans="1:17" x14ac:dyDescent="0.25">
      <c r="A84" t="s">
        <v>63</v>
      </c>
      <c r="B84" s="116">
        <v>15</v>
      </c>
      <c r="C84" s="17"/>
      <c r="D84" s="17">
        <f>TRUNC(50*Q84*(1-L7)*(1-N84))</f>
        <v>0</v>
      </c>
      <c r="E84" s="17"/>
      <c r="F84" s="17">
        <f>TRUNC(100*Q84*(1-L7)*(1-N84))</f>
        <v>0</v>
      </c>
      <c r="G84" s="17"/>
      <c r="H84" s="17">
        <f>TRUNC(20*Q84*(1-L7)*(1-N84))</f>
        <v>0</v>
      </c>
      <c r="I84" s="17"/>
      <c r="J84" s="17"/>
      <c r="K84" s="17"/>
      <c r="L84" s="18"/>
      <c r="M84" s="127" t="s">
        <v>173</v>
      </c>
      <c r="N84" s="124">
        <v>0</v>
      </c>
      <c r="O84" s="150">
        <f t="shared" si="13"/>
        <v>0</v>
      </c>
      <c r="P84" s="145">
        <f t="shared" si="7"/>
        <v>0</v>
      </c>
      <c r="Q84" s="146">
        <f t="shared" si="5"/>
        <v>0</v>
      </c>
    </row>
    <row r="85" spans="1:17" x14ac:dyDescent="0.25">
      <c r="A85" t="s">
        <v>64</v>
      </c>
      <c r="B85" s="116">
        <v>15</v>
      </c>
      <c r="C85" s="17"/>
      <c r="D85" s="17"/>
      <c r="E85" s="17"/>
      <c r="F85" s="17">
        <f>TRUNC(40*Q85*(1-L7)*(1-N85))</f>
        <v>0</v>
      </c>
      <c r="G85" s="17"/>
      <c r="H85" s="17"/>
      <c r="I85" s="17"/>
      <c r="J85" s="17"/>
      <c r="K85" s="17"/>
      <c r="L85" s="18">
        <f>TRUNC(130*Q85*(1-L7)*(1-N85))</f>
        <v>0</v>
      </c>
      <c r="M85" s="127" t="s">
        <v>173</v>
      </c>
      <c r="N85" s="124">
        <v>0</v>
      </c>
      <c r="O85" s="150">
        <f t="shared" si="13"/>
        <v>0</v>
      </c>
      <c r="P85" s="145">
        <f t="shared" si="7"/>
        <v>0</v>
      </c>
      <c r="Q85" s="146">
        <f t="shared" si="5"/>
        <v>0</v>
      </c>
    </row>
    <row r="86" spans="1:17" x14ac:dyDescent="0.25">
      <c r="A86" t="s">
        <v>65</v>
      </c>
      <c r="B86" s="116">
        <v>15</v>
      </c>
      <c r="C86" s="17"/>
      <c r="D86" s="17"/>
      <c r="E86" s="17"/>
      <c r="F86" s="17"/>
      <c r="G86" s="17"/>
      <c r="H86" s="17">
        <f>TRUNC(170*Q86*(1-L7)*(1-N86))</f>
        <v>0</v>
      </c>
      <c r="I86" s="17"/>
      <c r="J86" s="17"/>
      <c r="K86" s="17"/>
      <c r="L86" s="18"/>
      <c r="M86" s="127" t="s">
        <v>173</v>
      </c>
      <c r="N86" s="124">
        <v>0</v>
      </c>
      <c r="O86" s="150">
        <f t="shared" si="13"/>
        <v>0</v>
      </c>
      <c r="P86" s="145">
        <f t="shared" si="7"/>
        <v>0</v>
      </c>
      <c r="Q86" s="146">
        <f t="shared" si="5"/>
        <v>0</v>
      </c>
    </row>
    <row r="87" spans="1:17" x14ac:dyDescent="0.25">
      <c r="A87" t="s">
        <v>66</v>
      </c>
      <c r="B87" s="116">
        <v>15</v>
      </c>
      <c r="C87" s="17"/>
      <c r="D87" s="17"/>
      <c r="E87" s="17"/>
      <c r="F87" s="17"/>
      <c r="G87" s="17"/>
      <c r="H87" s="17">
        <f>TRUNC(40*Q87*(1-L7)*(1-N87))</f>
        <v>0</v>
      </c>
      <c r="I87" s="17">
        <f>TRUNC(130*Q87*(1-L7)*(1-N87))</f>
        <v>0</v>
      </c>
      <c r="J87" s="17"/>
      <c r="K87" s="17"/>
      <c r="L87" s="18"/>
      <c r="M87" s="127" t="s">
        <v>173</v>
      </c>
      <c r="N87" s="124">
        <v>0</v>
      </c>
      <c r="O87" s="150">
        <f t="shared" si="13"/>
        <v>0</v>
      </c>
      <c r="P87" s="145">
        <f t="shared" si="7"/>
        <v>0</v>
      </c>
      <c r="Q87" s="146">
        <f t="shared" si="5"/>
        <v>0</v>
      </c>
    </row>
    <row r="88" spans="1:17" ht="15.75" thickBot="1" x14ac:dyDescent="0.3">
      <c r="A88" t="s">
        <v>67</v>
      </c>
      <c r="B88" s="116">
        <v>15</v>
      </c>
      <c r="C88" s="17"/>
      <c r="D88" s="17"/>
      <c r="E88" s="17"/>
      <c r="F88" s="17"/>
      <c r="G88" s="17"/>
      <c r="H88" s="17">
        <f>TRUNC(100*Q88*(1-L7)*(1-N88))</f>
        <v>0</v>
      </c>
      <c r="I88" s="17">
        <f>TRUNC(70*Q88*(1-L7)*(1-N88))</f>
        <v>0</v>
      </c>
      <c r="J88" s="17"/>
      <c r="K88" s="17"/>
      <c r="L88" s="18"/>
      <c r="M88" s="127" t="s">
        <v>173</v>
      </c>
      <c r="N88" s="124">
        <v>0</v>
      </c>
      <c r="O88" s="150">
        <f t="shared" si="13"/>
        <v>0</v>
      </c>
      <c r="P88" s="145">
        <f t="shared" si="7"/>
        <v>0</v>
      </c>
      <c r="Q88" s="146">
        <f t="shared" si="5"/>
        <v>0</v>
      </c>
    </row>
    <row r="89" spans="1:17" ht="15.75" thickBot="1" x14ac:dyDescent="0.3">
      <c r="A89" s="3" t="s">
        <v>68</v>
      </c>
      <c r="B89" s="117" t="s">
        <v>166</v>
      </c>
      <c r="C89" s="91" t="s">
        <v>8</v>
      </c>
      <c r="D89" s="92" t="s">
        <v>9</v>
      </c>
      <c r="E89" s="92" t="s">
        <v>10</v>
      </c>
      <c r="F89" s="92" t="s">
        <v>137</v>
      </c>
      <c r="G89" s="92" t="s">
        <v>11</v>
      </c>
      <c r="H89" s="92" t="s">
        <v>138</v>
      </c>
      <c r="I89" s="92" t="s">
        <v>139</v>
      </c>
      <c r="J89" s="92" t="s">
        <v>12</v>
      </c>
      <c r="K89" s="92" t="s">
        <v>13</v>
      </c>
      <c r="L89" s="93" t="s">
        <v>105</v>
      </c>
      <c r="M89" s="93"/>
      <c r="N89" s="93"/>
      <c r="O89" s="151"/>
      <c r="P89" s="147"/>
      <c r="Q89" s="148"/>
    </row>
    <row r="90" spans="1:17" x14ac:dyDescent="0.25">
      <c r="A90" t="s">
        <v>69</v>
      </c>
      <c r="B90" s="115">
        <v>15</v>
      </c>
      <c r="C90" s="15"/>
      <c r="D90" s="15"/>
      <c r="E90" s="15">
        <f>TRUNC(20*Q90*(1-L7)*(1-N90))</f>
        <v>0</v>
      </c>
      <c r="F90" s="15"/>
      <c r="G90" s="15">
        <f>TRUNC(20*Q90*(1-L7)*(1-N90))</f>
        <v>0</v>
      </c>
      <c r="H90" s="15">
        <f>TRUNC(90*Q90*(1-L7)*(1-N90))</f>
        <v>0</v>
      </c>
      <c r="I90" s="15"/>
      <c r="J90" s="15">
        <f>TRUNC(20*Q90*(1-L7)*(1-N90))</f>
        <v>0</v>
      </c>
      <c r="K90" s="15"/>
      <c r="L90" s="16">
        <f>TRUNC(60*Q90*(1-L7)*(1-N90))</f>
        <v>0</v>
      </c>
      <c r="M90" s="127" t="s">
        <v>173</v>
      </c>
      <c r="N90" s="124">
        <v>0</v>
      </c>
      <c r="O90" s="149">
        <f>IF(E$6="Morrowind",60000*Q90*(1-L$7)*(1-N90),30000*Q90*(1-L$7)*(1-N90))</f>
        <v>0</v>
      </c>
      <c r="P90" s="145">
        <f t="shared" si="7"/>
        <v>0</v>
      </c>
      <c r="Q90" s="146">
        <f t="shared" si="5"/>
        <v>0</v>
      </c>
    </row>
    <row r="91" spans="1:17" x14ac:dyDescent="0.25">
      <c r="A91" t="s">
        <v>70</v>
      </c>
      <c r="B91" s="116">
        <v>15</v>
      </c>
      <c r="C91" s="17"/>
      <c r="D91" s="17"/>
      <c r="E91" s="17"/>
      <c r="F91" s="17"/>
      <c r="G91" s="17">
        <f>TRUNC(170*Q91*(1-L7)*(1-N91))</f>
        <v>0</v>
      </c>
      <c r="H91" s="17"/>
      <c r="I91" s="17"/>
      <c r="J91" s="17"/>
      <c r="K91" s="17"/>
      <c r="L91" s="18"/>
      <c r="M91" s="127" t="s">
        <v>173</v>
      </c>
      <c r="N91" s="124">
        <v>0</v>
      </c>
      <c r="O91" s="150">
        <f t="shared" ref="O91:O97" si="14">30000*Q91*(1-L$7)*(1-N91)</f>
        <v>0</v>
      </c>
      <c r="P91" s="145">
        <f t="shared" si="7"/>
        <v>0</v>
      </c>
      <c r="Q91" s="146">
        <f t="shared" si="5"/>
        <v>0</v>
      </c>
    </row>
    <row r="92" spans="1:17" x14ac:dyDescent="0.25">
      <c r="A92" t="s">
        <v>71</v>
      </c>
      <c r="B92" s="116">
        <v>15</v>
      </c>
      <c r="C92" s="17">
        <f>TRUNC(70*Q92*(1-L7)*(1-N92))</f>
        <v>0</v>
      </c>
      <c r="D92" s="17"/>
      <c r="E92" s="17"/>
      <c r="F92" s="17"/>
      <c r="G92" s="17"/>
      <c r="H92" s="17"/>
      <c r="I92" s="17"/>
      <c r="J92" s="17"/>
      <c r="K92" s="17"/>
      <c r="L92" s="18">
        <f>TRUNC(100*Q92*(1-L7)*(1-N92))</f>
        <v>0</v>
      </c>
      <c r="M92" s="127" t="s">
        <v>173</v>
      </c>
      <c r="N92" s="124">
        <v>0</v>
      </c>
      <c r="O92" s="150">
        <f t="shared" si="14"/>
        <v>0</v>
      </c>
      <c r="P92" s="145">
        <f t="shared" si="7"/>
        <v>0</v>
      </c>
      <c r="Q92" s="146">
        <f t="shared" ref="Q92:Q111" si="15">IF(M92="Possédée",1,IF(M92="Assiégée",0.5,0))</f>
        <v>0</v>
      </c>
    </row>
    <row r="93" spans="1:17" x14ac:dyDescent="0.25">
      <c r="A93" t="s">
        <v>72</v>
      </c>
      <c r="B93" s="116">
        <v>15</v>
      </c>
      <c r="C93" s="17"/>
      <c r="D93" s="17"/>
      <c r="E93" s="17">
        <f>TRUNC(60*Q93*(1-L7)*(1-N93))</f>
        <v>0</v>
      </c>
      <c r="F93" s="17"/>
      <c r="G93" s="17"/>
      <c r="H93" s="17"/>
      <c r="I93" s="17"/>
      <c r="J93" s="17"/>
      <c r="K93" s="17">
        <f>TRUNC(110*Q93*(1-L7)*(1-N93))</f>
        <v>0</v>
      </c>
      <c r="L93" s="18"/>
      <c r="M93" s="127" t="s">
        <v>173</v>
      </c>
      <c r="N93" s="124">
        <v>0</v>
      </c>
      <c r="O93" s="150">
        <f t="shared" si="14"/>
        <v>0</v>
      </c>
      <c r="P93" s="145">
        <f t="shared" ref="P93:P118" si="16">IF(OR(M93="Possédée",M93="Assiégée"),B93,0)</f>
        <v>0</v>
      </c>
      <c r="Q93" s="146">
        <f t="shared" si="15"/>
        <v>0</v>
      </c>
    </row>
    <row r="94" spans="1:17" x14ac:dyDescent="0.25">
      <c r="A94" t="s">
        <v>73</v>
      </c>
      <c r="B94" s="116">
        <v>15</v>
      </c>
      <c r="C94" s="17"/>
      <c r="D94" s="17"/>
      <c r="E94" s="17"/>
      <c r="F94" s="17"/>
      <c r="G94" s="17">
        <f>TRUNC(100*Q94*(1-L7)*(1-N94))</f>
        <v>0</v>
      </c>
      <c r="H94" s="17">
        <f>TRUNC(50*Q94*(1-L7)*(1-N94))</f>
        <v>0</v>
      </c>
      <c r="I94" s="17"/>
      <c r="J94" s="17"/>
      <c r="K94" s="17"/>
      <c r="L94" s="18">
        <f>TRUNC(20*Q94*(1-L7)*(1-N94))</f>
        <v>0</v>
      </c>
      <c r="M94" s="127" t="s">
        <v>173</v>
      </c>
      <c r="N94" s="124">
        <v>0</v>
      </c>
      <c r="O94" s="150">
        <f t="shared" si="14"/>
        <v>0</v>
      </c>
      <c r="P94" s="145">
        <f t="shared" si="16"/>
        <v>0</v>
      </c>
      <c r="Q94" s="146">
        <f t="shared" si="15"/>
        <v>0</v>
      </c>
    </row>
    <row r="95" spans="1:17" x14ac:dyDescent="0.25">
      <c r="A95" t="s">
        <v>74</v>
      </c>
      <c r="B95" s="116">
        <v>15</v>
      </c>
      <c r="C95" s="17"/>
      <c r="D95" s="17"/>
      <c r="E95" s="17">
        <f>TRUNC(100*Q95*(1-L7)*(1-N95))</f>
        <v>0</v>
      </c>
      <c r="F95" s="17"/>
      <c r="G95" s="17">
        <f>TRUNC(70*Q95*(1-L7)*(1-N95))</f>
        <v>0</v>
      </c>
      <c r="H95" s="17"/>
      <c r="I95" s="17"/>
      <c r="J95" s="17"/>
      <c r="K95" s="17"/>
      <c r="L95" s="18"/>
      <c r="M95" s="127" t="s">
        <v>173</v>
      </c>
      <c r="N95" s="124">
        <v>0</v>
      </c>
      <c r="O95" s="150">
        <f t="shared" si="14"/>
        <v>0</v>
      </c>
      <c r="P95" s="145">
        <f t="shared" si="16"/>
        <v>0</v>
      </c>
      <c r="Q95" s="146">
        <f t="shared" si="15"/>
        <v>0</v>
      </c>
    </row>
    <row r="96" spans="1:17" x14ac:dyDescent="0.25">
      <c r="A96" t="s">
        <v>75</v>
      </c>
      <c r="B96" s="116">
        <v>15</v>
      </c>
      <c r="C96" s="17"/>
      <c r="D96" s="17"/>
      <c r="E96" s="17">
        <f>TRUNC(120*Q96*(1-L7)*(1-N96))</f>
        <v>0</v>
      </c>
      <c r="F96" s="17"/>
      <c r="G96" s="17"/>
      <c r="H96" s="17"/>
      <c r="I96" s="17"/>
      <c r="J96" s="17"/>
      <c r="K96" s="17">
        <f>TRUNC(50*Q96*(1-L7)*(1-N96))</f>
        <v>0</v>
      </c>
      <c r="L96" s="18"/>
      <c r="M96" s="127" t="s">
        <v>173</v>
      </c>
      <c r="N96" s="124">
        <v>0</v>
      </c>
      <c r="O96" s="150">
        <f t="shared" si="14"/>
        <v>0</v>
      </c>
      <c r="P96" s="145">
        <f t="shared" si="16"/>
        <v>0</v>
      </c>
      <c r="Q96" s="146">
        <f t="shared" si="15"/>
        <v>0</v>
      </c>
    </row>
    <row r="97" spans="1:17" ht="15.75" thickBot="1" x14ac:dyDescent="0.3">
      <c r="A97" t="s">
        <v>76</v>
      </c>
      <c r="B97" s="116">
        <v>15</v>
      </c>
      <c r="C97" s="17"/>
      <c r="D97" s="17"/>
      <c r="E97" s="17">
        <f>TRUNC(170*Q97*(1-L7)*(1-N97))</f>
        <v>0</v>
      </c>
      <c r="F97" s="17"/>
      <c r="G97" s="17"/>
      <c r="H97" s="17"/>
      <c r="I97" s="17"/>
      <c r="J97" s="17"/>
      <c r="K97" s="17"/>
      <c r="L97" s="18"/>
      <c r="M97" s="127" t="s">
        <v>173</v>
      </c>
      <c r="N97" s="124">
        <v>0</v>
      </c>
      <c r="O97" s="150">
        <f t="shared" si="14"/>
        <v>0</v>
      </c>
      <c r="P97" s="145">
        <f t="shared" si="16"/>
        <v>0</v>
      </c>
      <c r="Q97" s="146">
        <f t="shared" si="15"/>
        <v>0</v>
      </c>
    </row>
    <row r="98" spans="1:17" ht="15.75" thickBot="1" x14ac:dyDescent="0.3">
      <c r="A98" s="3" t="s">
        <v>77</v>
      </c>
      <c r="B98" s="117" t="s">
        <v>166</v>
      </c>
      <c r="C98" s="91" t="s">
        <v>8</v>
      </c>
      <c r="D98" s="92" t="s">
        <v>9</v>
      </c>
      <c r="E98" s="92" t="s">
        <v>10</v>
      </c>
      <c r="F98" s="92" t="s">
        <v>137</v>
      </c>
      <c r="G98" s="92" t="s">
        <v>11</v>
      </c>
      <c r="H98" s="92" t="s">
        <v>138</v>
      </c>
      <c r="I98" s="92" t="s">
        <v>139</v>
      </c>
      <c r="J98" s="92" t="s">
        <v>12</v>
      </c>
      <c r="K98" s="92" t="s">
        <v>13</v>
      </c>
      <c r="L98" s="93" t="s">
        <v>105</v>
      </c>
      <c r="M98" s="93"/>
      <c r="N98" s="93"/>
      <c r="O98" s="151"/>
      <c r="P98" s="147"/>
      <c r="Q98" s="148"/>
    </row>
    <row r="99" spans="1:17" x14ac:dyDescent="0.25">
      <c r="A99" t="s">
        <v>78</v>
      </c>
      <c r="B99" s="115">
        <v>15</v>
      </c>
      <c r="C99" s="15"/>
      <c r="D99" s="15"/>
      <c r="E99" s="15"/>
      <c r="F99" s="15"/>
      <c r="G99" s="15">
        <f>TRUNC(30*Q99*(1-L7)*(1-N99))</f>
        <v>0</v>
      </c>
      <c r="H99" s="15">
        <f>TRUNC(40*Q99*(1-L7)*(1-N99))</f>
        <v>0</v>
      </c>
      <c r="I99" s="15">
        <f>TRUNC(140*Q99*(1-L7)*(1-N99))</f>
        <v>0</v>
      </c>
      <c r="J99" s="15"/>
      <c r="K99" s="15"/>
      <c r="L99" s="16"/>
      <c r="M99" s="127" t="s">
        <v>173</v>
      </c>
      <c r="N99" s="124">
        <v>0</v>
      </c>
      <c r="O99" s="149">
        <f>IF(E$6="Val-Boisé",60000*Q99*(1-L$7)*(1-N99),30000*Q99*(1-L$7)*(1-N99))</f>
        <v>0</v>
      </c>
      <c r="P99" s="145">
        <f t="shared" si="16"/>
        <v>0</v>
      </c>
      <c r="Q99" s="146">
        <f t="shared" si="15"/>
        <v>0</v>
      </c>
    </row>
    <row r="100" spans="1:17" x14ac:dyDescent="0.25">
      <c r="A100" t="s">
        <v>79</v>
      </c>
      <c r="B100" s="116">
        <v>15</v>
      </c>
      <c r="C100" s="17"/>
      <c r="D100" s="17"/>
      <c r="E100" s="17"/>
      <c r="F100" s="17"/>
      <c r="G100" s="17"/>
      <c r="H100" s="17"/>
      <c r="I100" s="17">
        <f>TRUNC(50*Q100*(1-L7)*(1-N100))</f>
        <v>0</v>
      </c>
      <c r="J100" s="17">
        <f>TRUNC(120*Q100*(1-L7)*(1-N100))</f>
        <v>0</v>
      </c>
      <c r="K100" s="17"/>
      <c r="L100" s="18"/>
      <c r="M100" s="127" t="s">
        <v>173</v>
      </c>
      <c r="N100" s="124">
        <v>0</v>
      </c>
      <c r="O100" s="150">
        <f t="shared" ref="O100:O106" si="17">30000*Q100*(1-L$7)*(1-N100)</f>
        <v>0</v>
      </c>
      <c r="P100" s="145">
        <f t="shared" si="16"/>
        <v>0</v>
      </c>
      <c r="Q100" s="146">
        <f t="shared" si="15"/>
        <v>0</v>
      </c>
    </row>
    <row r="101" spans="1:17" x14ac:dyDescent="0.25">
      <c r="A101" t="s">
        <v>80</v>
      </c>
      <c r="B101" s="116">
        <v>15</v>
      </c>
      <c r="C101" s="17"/>
      <c r="D101" s="17"/>
      <c r="E101" s="17"/>
      <c r="F101" s="17">
        <f>TRUNC(70*Q101*(1-L7)*(1-N101))</f>
        <v>0</v>
      </c>
      <c r="G101" s="17">
        <f>TRUNC(40*Q101*(1-L7)*(1-N101))</f>
        <v>0</v>
      </c>
      <c r="H101" s="17"/>
      <c r="I101" s="17"/>
      <c r="J101" s="17"/>
      <c r="K101" s="17">
        <f>TRUNC(20*Q101*(1-L7)*(1-N101))</f>
        <v>0</v>
      </c>
      <c r="L101" s="18">
        <f>TRUNC(40*Q101*(1-L7)*(1-N101))</f>
        <v>0</v>
      </c>
      <c r="M101" s="127" t="s">
        <v>173</v>
      </c>
      <c r="N101" s="124">
        <v>0</v>
      </c>
      <c r="O101" s="150">
        <f t="shared" si="17"/>
        <v>0</v>
      </c>
      <c r="P101" s="145">
        <f t="shared" si="16"/>
        <v>0</v>
      </c>
      <c r="Q101" s="146">
        <f t="shared" si="15"/>
        <v>0</v>
      </c>
    </row>
    <row r="102" spans="1:17" x14ac:dyDescent="0.25">
      <c r="A102" t="s">
        <v>81</v>
      </c>
      <c r="B102" s="116">
        <v>15</v>
      </c>
      <c r="C102" s="17"/>
      <c r="D102" s="17"/>
      <c r="E102" s="17"/>
      <c r="F102" s="17"/>
      <c r="G102" s="17"/>
      <c r="H102" s="17"/>
      <c r="I102" s="17">
        <f>TRUNC(170*Q102*(1-L7)*(1-N102))</f>
        <v>0</v>
      </c>
      <c r="J102" s="17"/>
      <c r="K102" s="17"/>
      <c r="L102" s="18"/>
      <c r="M102" s="127" t="s">
        <v>173</v>
      </c>
      <c r="N102" s="124">
        <v>0</v>
      </c>
      <c r="O102" s="150">
        <f t="shared" si="17"/>
        <v>0</v>
      </c>
      <c r="P102" s="145">
        <f t="shared" si="16"/>
        <v>0</v>
      </c>
      <c r="Q102" s="146">
        <f t="shared" si="15"/>
        <v>0</v>
      </c>
    </row>
    <row r="103" spans="1:17" x14ac:dyDescent="0.25">
      <c r="A103" t="s">
        <v>82</v>
      </c>
      <c r="B103" s="116">
        <v>15</v>
      </c>
      <c r="C103" s="17">
        <f>TRUNC(100*Q103*(1-L7)*(1-N103))</f>
        <v>0</v>
      </c>
      <c r="D103" s="17"/>
      <c r="E103" s="17"/>
      <c r="F103" s="17"/>
      <c r="G103" s="17"/>
      <c r="H103" s="17"/>
      <c r="I103" s="17"/>
      <c r="J103" s="17">
        <f>TRUNC(70*Q103*(1-L7)*(1-N103))</f>
        <v>0</v>
      </c>
      <c r="K103" s="17"/>
      <c r="L103" s="18"/>
      <c r="M103" s="127" t="s">
        <v>173</v>
      </c>
      <c r="N103" s="124">
        <v>0</v>
      </c>
      <c r="O103" s="150">
        <f t="shared" si="17"/>
        <v>0</v>
      </c>
      <c r="P103" s="145">
        <f t="shared" si="16"/>
        <v>0</v>
      </c>
      <c r="Q103" s="146">
        <f t="shared" si="15"/>
        <v>0</v>
      </c>
    </row>
    <row r="104" spans="1:17" x14ac:dyDescent="0.25">
      <c r="A104" t="s">
        <v>83</v>
      </c>
      <c r="B104" s="116">
        <v>15</v>
      </c>
      <c r="C104" s="17">
        <f>TRUNC(170*Q104*(1-L7)*(1-N104))</f>
        <v>0</v>
      </c>
      <c r="D104" s="17"/>
      <c r="E104" s="17"/>
      <c r="F104" s="17"/>
      <c r="G104" s="17"/>
      <c r="H104" s="17"/>
      <c r="I104" s="17"/>
      <c r="J104" s="17"/>
      <c r="K104" s="17"/>
      <c r="L104" s="18"/>
      <c r="M104" s="127" t="s">
        <v>173</v>
      </c>
      <c r="N104" s="124">
        <v>0</v>
      </c>
      <c r="O104" s="150">
        <f t="shared" si="17"/>
        <v>0</v>
      </c>
      <c r="P104" s="145">
        <f t="shared" si="16"/>
        <v>0</v>
      </c>
      <c r="Q104" s="146">
        <f t="shared" si="15"/>
        <v>0</v>
      </c>
    </row>
    <row r="105" spans="1:17" x14ac:dyDescent="0.25">
      <c r="A105" t="s">
        <v>84</v>
      </c>
      <c r="B105" s="116">
        <v>15</v>
      </c>
      <c r="C105" s="17"/>
      <c r="D105" s="17"/>
      <c r="E105" s="17"/>
      <c r="F105" s="17"/>
      <c r="G105" s="17"/>
      <c r="H105" s="17">
        <f>TRUNC(170*Q105*(1-L7)*(1-N105))</f>
        <v>0</v>
      </c>
      <c r="I105" s="17"/>
      <c r="J105" s="17"/>
      <c r="K105" s="17"/>
      <c r="L105" s="18"/>
      <c r="M105" s="127" t="s">
        <v>173</v>
      </c>
      <c r="N105" s="124">
        <v>0</v>
      </c>
      <c r="O105" s="150">
        <f t="shared" si="17"/>
        <v>0</v>
      </c>
      <c r="P105" s="145">
        <f t="shared" si="16"/>
        <v>0</v>
      </c>
      <c r="Q105" s="146">
        <f t="shared" si="15"/>
        <v>0</v>
      </c>
    </row>
    <row r="106" spans="1:17" ht="15.75" thickBot="1" x14ac:dyDescent="0.3">
      <c r="A106" t="s">
        <v>85</v>
      </c>
      <c r="B106" s="116">
        <v>15</v>
      </c>
      <c r="C106" s="17">
        <f>TRUNC(60*Q106*(1-L7)*(1-N106))</f>
        <v>0</v>
      </c>
      <c r="D106" s="17"/>
      <c r="E106" s="17"/>
      <c r="F106" s="17"/>
      <c r="G106" s="17"/>
      <c r="H106" s="17"/>
      <c r="I106" s="17">
        <f>TRUNC(110*Q106*(1-L7)*(1-N106))</f>
        <v>0</v>
      </c>
      <c r="J106" s="17"/>
      <c r="K106" s="17"/>
      <c r="L106" s="18"/>
      <c r="M106" s="127" t="s">
        <v>173</v>
      </c>
      <c r="N106" s="124">
        <v>0</v>
      </c>
      <c r="O106" s="150">
        <f t="shared" si="17"/>
        <v>0</v>
      </c>
      <c r="P106" s="145">
        <f t="shared" si="16"/>
        <v>0</v>
      </c>
      <c r="Q106" s="146">
        <f t="shared" si="15"/>
        <v>0</v>
      </c>
    </row>
    <row r="107" spans="1:17" ht="15.75" thickBot="1" x14ac:dyDescent="0.3">
      <c r="A107" s="3" t="s">
        <v>86</v>
      </c>
      <c r="B107" s="117" t="s">
        <v>166</v>
      </c>
      <c r="C107" s="91" t="s">
        <v>8</v>
      </c>
      <c r="D107" s="92" t="s">
        <v>9</v>
      </c>
      <c r="E107" s="92" t="s">
        <v>10</v>
      </c>
      <c r="F107" s="92" t="s">
        <v>137</v>
      </c>
      <c r="G107" s="92" t="s">
        <v>11</v>
      </c>
      <c r="H107" s="92" t="s">
        <v>138</v>
      </c>
      <c r="I107" s="92" t="s">
        <v>139</v>
      </c>
      <c r="J107" s="92" t="s">
        <v>12</v>
      </c>
      <c r="K107" s="92" t="s">
        <v>13</v>
      </c>
      <c r="L107" s="93" t="s">
        <v>105</v>
      </c>
      <c r="M107" s="93"/>
      <c r="N107" s="93"/>
      <c r="O107" s="151"/>
      <c r="P107" s="147"/>
      <c r="Q107" s="148"/>
    </row>
    <row r="108" spans="1:17" x14ac:dyDescent="0.25">
      <c r="A108" t="s">
        <v>89</v>
      </c>
      <c r="B108" s="115">
        <v>15</v>
      </c>
      <c r="C108" s="15"/>
      <c r="D108" s="15"/>
      <c r="E108" s="15">
        <f>TRUNC(90*Q108*(1-L7)*(1-N108))</f>
        <v>0</v>
      </c>
      <c r="F108" s="15"/>
      <c r="G108" s="15"/>
      <c r="H108" s="15"/>
      <c r="I108" s="15"/>
      <c r="J108" s="15"/>
      <c r="K108" s="15">
        <f>TRUNC(120*Q108*(1-L7)*(1-N108))</f>
        <v>0</v>
      </c>
      <c r="L108" s="16"/>
      <c r="M108" s="127" t="s">
        <v>173</v>
      </c>
      <c r="N108" s="124">
        <v>0</v>
      </c>
      <c r="O108" s="149">
        <f>IF(E$6="Solstheim",60000*Q108*(1-L$7)*(1-N108),30000*Q108*(1-L$7)*(1-N108))</f>
        <v>0</v>
      </c>
      <c r="P108" s="145">
        <f t="shared" si="16"/>
        <v>0</v>
      </c>
      <c r="Q108" s="146">
        <f t="shared" si="15"/>
        <v>0</v>
      </c>
    </row>
    <row r="109" spans="1:17" x14ac:dyDescent="0.25">
      <c r="A109" t="s">
        <v>88</v>
      </c>
      <c r="B109" s="116">
        <v>15</v>
      </c>
      <c r="C109" s="17"/>
      <c r="D109" s="17"/>
      <c r="E109" s="17">
        <f>TRUNC(80*Q109*(1-L7)*(1-N109))</f>
        <v>0</v>
      </c>
      <c r="F109" s="17"/>
      <c r="G109" s="17">
        <f>TRUNC(20*Q109*(1-L7)*(1-N109))</f>
        <v>0</v>
      </c>
      <c r="H109" s="17"/>
      <c r="I109" s="17"/>
      <c r="J109" s="17"/>
      <c r="K109" s="17">
        <f>TRUNC(70*Q109*(1-L7)*(1-N109))</f>
        <v>0</v>
      </c>
      <c r="L109" s="18"/>
      <c r="M109" s="127" t="s">
        <v>173</v>
      </c>
      <c r="N109" s="124">
        <v>0</v>
      </c>
      <c r="O109" s="150">
        <f t="shared" ref="O109:O110" si="18">30000*Q109*(1-L$7)*(1-N109)</f>
        <v>0</v>
      </c>
      <c r="P109" s="145">
        <f t="shared" si="16"/>
        <v>0</v>
      </c>
      <c r="Q109" s="146">
        <f t="shared" si="15"/>
        <v>0</v>
      </c>
    </row>
    <row r="110" spans="1:17" ht="15.75" thickBot="1" x14ac:dyDescent="0.3">
      <c r="A110" s="39" t="s">
        <v>87</v>
      </c>
      <c r="B110" s="116">
        <v>15</v>
      </c>
      <c r="C110" s="19"/>
      <c r="D110" s="17">
        <f>TRUNC(90*Q110*(1-L7)*(1-N110))</f>
        <v>0</v>
      </c>
      <c r="E110" s="17"/>
      <c r="F110" s="17"/>
      <c r="G110" s="17">
        <f>TRUNC(30*Q110*(1-L7)*(1-N110))</f>
        <v>0</v>
      </c>
      <c r="H110" s="17"/>
      <c r="I110" s="17"/>
      <c r="J110" s="17"/>
      <c r="K110" s="17">
        <f>TRUNC(50*Q110*(1-L7)*(1-N110))</f>
        <v>0</v>
      </c>
      <c r="L110" s="18"/>
      <c r="M110" s="127" t="s">
        <v>173</v>
      </c>
      <c r="N110" s="124">
        <v>0</v>
      </c>
      <c r="O110" s="150">
        <f t="shared" si="18"/>
        <v>0</v>
      </c>
      <c r="P110" s="145">
        <f t="shared" si="16"/>
        <v>0</v>
      </c>
      <c r="Q110" s="146">
        <f t="shared" si="15"/>
        <v>0</v>
      </c>
    </row>
    <row r="111" spans="1:17" ht="15.75" thickBot="1" x14ac:dyDescent="0.3">
      <c r="A111" s="3" t="s">
        <v>140</v>
      </c>
      <c r="B111" s="119">
        <v>15</v>
      </c>
      <c r="C111" s="113"/>
      <c r="D111" s="89"/>
      <c r="E111" s="89">
        <f>TRUNC(70*Q111*(1-L7)*(1-N111))</f>
        <v>0</v>
      </c>
      <c r="F111" s="89"/>
      <c r="G111" s="89">
        <f>TRUNC(40*Q111*(1-L7)*(1-N111))</f>
        <v>0</v>
      </c>
      <c r="H111" s="89"/>
      <c r="I111" s="89"/>
      <c r="J111" s="89"/>
      <c r="K111" s="89">
        <f>TRUNC(100*Q111*(1-L7)*(1-N111))</f>
        <v>0</v>
      </c>
      <c r="L111" s="90"/>
      <c r="M111" s="127" t="s">
        <v>173</v>
      </c>
      <c r="N111" s="124">
        <v>0</v>
      </c>
      <c r="O111" s="150">
        <f>IF(E$6="Orsinium",60000*Q111*(1-L$7)*(1-N111),30000*Q111*(1-L$7)*(1-N111))</f>
        <v>0</v>
      </c>
      <c r="P111" s="145">
        <f t="shared" si="16"/>
        <v>0</v>
      </c>
      <c r="Q111" s="146">
        <f t="shared" si="15"/>
        <v>0</v>
      </c>
    </row>
    <row r="112" spans="1:17" ht="15.75" thickBot="1" x14ac:dyDescent="0.3">
      <c r="A112" s="3" t="s">
        <v>215</v>
      </c>
      <c r="B112" s="117" t="s">
        <v>166</v>
      </c>
      <c r="C112" s="91" t="s">
        <v>8</v>
      </c>
      <c r="D112" s="92" t="s">
        <v>9</v>
      </c>
      <c r="E112" s="92" t="s">
        <v>10</v>
      </c>
      <c r="F112" s="92" t="s">
        <v>137</v>
      </c>
      <c r="G112" s="92" t="s">
        <v>11</v>
      </c>
      <c r="H112" s="92" t="s">
        <v>138</v>
      </c>
      <c r="I112" s="92" t="s">
        <v>139</v>
      </c>
      <c r="J112" s="92" t="s">
        <v>12</v>
      </c>
      <c r="K112" s="92" t="s">
        <v>13</v>
      </c>
      <c r="L112" s="93" t="s">
        <v>105</v>
      </c>
      <c r="M112" s="93"/>
      <c r="N112" s="93"/>
      <c r="O112" s="151"/>
      <c r="P112" s="147"/>
      <c r="Q112" s="148"/>
    </row>
    <row r="113" spans="1:17" x14ac:dyDescent="0.25">
      <c r="A113" t="s">
        <v>142</v>
      </c>
      <c r="B113" s="115">
        <v>0</v>
      </c>
      <c r="C113" s="15"/>
      <c r="D113" s="15"/>
      <c r="E113" s="15">
        <f>TRUNC(10*Q113*(1-N113))</f>
        <v>0</v>
      </c>
      <c r="F113" s="15"/>
      <c r="G113" s="15"/>
      <c r="H113" s="15">
        <f>TRUNC(10*Q113*(1-N113))</f>
        <v>0</v>
      </c>
      <c r="I113" s="15"/>
      <c r="J113" s="15">
        <f>TRUNC(10*Q113*(1-N113))</f>
        <v>0</v>
      </c>
      <c r="K113" s="15"/>
      <c r="L113" s="16"/>
      <c r="M113" s="127" t="s">
        <v>173</v>
      </c>
      <c r="N113" s="124">
        <v>0</v>
      </c>
      <c r="O113" s="149">
        <f>IF(E$6="Strik",40000*Q113*(1-L$7)*(1-N113),0)</f>
        <v>0</v>
      </c>
      <c r="P113" s="145">
        <f t="shared" si="16"/>
        <v>0</v>
      </c>
      <c r="Q113" s="146">
        <f>IF(E$6=A113,IF(M113="Possédée",1,IF(M113="Assiégée",0.5,0)),0)</f>
        <v>0</v>
      </c>
    </row>
    <row r="114" spans="1:17" x14ac:dyDescent="0.25">
      <c r="A114" t="s">
        <v>143</v>
      </c>
      <c r="B114" s="116">
        <v>0</v>
      </c>
      <c r="C114" s="17"/>
      <c r="D114" s="17"/>
      <c r="E114" s="17">
        <f>TRUNC(10*Q114*(1-N114))</f>
        <v>0</v>
      </c>
      <c r="F114" s="17"/>
      <c r="G114" s="17"/>
      <c r="H114" s="17">
        <f>TRUNC(10*Q114*(1-N114))</f>
        <v>0</v>
      </c>
      <c r="I114" s="17"/>
      <c r="J114" s="17">
        <f>TRUNC(10*Q114*(1-N114))</f>
        <v>0</v>
      </c>
      <c r="K114" s="17"/>
      <c r="L114" s="18"/>
      <c r="M114" s="127" t="s">
        <v>173</v>
      </c>
      <c r="N114" s="124">
        <v>0</v>
      </c>
      <c r="O114" s="150">
        <f>IF(E$6="Stros M'Kai",40000*Q114*(1-L$7)*(1-N114),0)</f>
        <v>0</v>
      </c>
      <c r="P114" s="145">
        <f t="shared" si="16"/>
        <v>0</v>
      </c>
      <c r="Q114" s="146">
        <f t="shared" ref="Q114:Q118" si="19">IF(E$6=A114,IF(M114="Possédée",1,IF(M114="Assiégée",0.5,0)),0)</f>
        <v>0</v>
      </c>
    </row>
    <row r="115" spans="1:17" x14ac:dyDescent="0.25">
      <c r="A115" t="s">
        <v>144</v>
      </c>
      <c r="B115" s="116">
        <v>0</v>
      </c>
      <c r="C115" s="17"/>
      <c r="D115" s="17"/>
      <c r="E115" s="17">
        <f t="shared" ref="E115:E118" si="20">TRUNC(10*Q115*(1-N115))</f>
        <v>0</v>
      </c>
      <c r="F115" s="17"/>
      <c r="G115" s="17"/>
      <c r="H115" s="17">
        <f t="shared" ref="H115:H118" si="21">TRUNC(10*Q115*(1-N115))</f>
        <v>0</v>
      </c>
      <c r="I115" s="17"/>
      <c r="J115" s="17">
        <f t="shared" ref="J115:J118" si="22">TRUNC(10*Q115*(1-N115))</f>
        <v>0</v>
      </c>
      <c r="K115" s="17"/>
      <c r="L115" s="18"/>
      <c r="M115" s="127" t="s">
        <v>173</v>
      </c>
      <c r="N115" s="124">
        <v>0</v>
      </c>
      <c r="O115" s="150">
        <f>IF(E$6="Vivec",40000*Q115*(1-L$7)*(1-N115),0)</f>
        <v>0</v>
      </c>
      <c r="P115" s="145">
        <f t="shared" si="16"/>
        <v>0</v>
      </c>
      <c r="Q115" s="146">
        <f t="shared" si="19"/>
        <v>0</v>
      </c>
    </row>
    <row r="116" spans="1:17" x14ac:dyDescent="0.25">
      <c r="A116" t="s">
        <v>145</v>
      </c>
      <c r="B116" s="116">
        <v>0</v>
      </c>
      <c r="C116" s="17"/>
      <c r="D116" s="17"/>
      <c r="E116" s="17">
        <f t="shared" si="20"/>
        <v>0</v>
      </c>
      <c r="F116" s="17"/>
      <c r="G116" s="17"/>
      <c r="H116" s="17">
        <f t="shared" si="21"/>
        <v>0</v>
      </c>
      <c r="I116" s="17"/>
      <c r="J116" s="17">
        <f t="shared" si="22"/>
        <v>0</v>
      </c>
      <c r="K116" s="17"/>
      <c r="L116" s="18"/>
      <c r="M116" s="127" t="s">
        <v>173</v>
      </c>
      <c r="N116" s="124">
        <v>0</v>
      </c>
      <c r="O116" s="150">
        <f>IF(E$6="Sadrith Mora",40000*Q116*(1-L$7)*(1-N116),0)</f>
        <v>0</v>
      </c>
      <c r="P116" s="145">
        <f t="shared" si="16"/>
        <v>0</v>
      </c>
      <c r="Q116" s="146">
        <f t="shared" si="19"/>
        <v>0</v>
      </c>
    </row>
    <row r="117" spans="1:17" x14ac:dyDescent="0.25">
      <c r="A117" t="s">
        <v>146</v>
      </c>
      <c r="B117" s="116">
        <v>0</v>
      </c>
      <c r="C117" s="17"/>
      <c r="D117" s="17"/>
      <c r="E117" s="17">
        <f t="shared" si="20"/>
        <v>0</v>
      </c>
      <c r="F117" s="17"/>
      <c r="G117" s="17"/>
      <c r="H117" s="17">
        <f t="shared" si="21"/>
        <v>0</v>
      </c>
      <c r="I117" s="17"/>
      <c r="J117" s="17">
        <f t="shared" si="22"/>
        <v>0</v>
      </c>
      <c r="K117" s="17"/>
      <c r="L117" s="18"/>
      <c r="M117" s="127" t="s">
        <v>173</v>
      </c>
      <c r="N117" s="124">
        <v>0</v>
      </c>
      <c r="O117" s="150">
        <f>IF(E$6="Dagon Fel",40000*Q117*(1-L$7)*(1-N117),0)</f>
        <v>0</v>
      </c>
      <c r="P117" s="145">
        <f t="shared" si="16"/>
        <v>0</v>
      </c>
      <c r="Q117" s="146">
        <f t="shared" si="19"/>
        <v>0</v>
      </c>
    </row>
    <row r="118" spans="1:17" ht="15.75" thickBot="1" x14ac:dyDescent="0.3">
      <c r="A118" s="40" t="s">
        <v>147</v>
      </c>
      <c r="B118" s="118">
        <v>0</v>
      </c>
      <c r="C118" s="21"/>
      <c r="D118" s="21"/>
      <c r="E118" s="17">
        <f t="shared" si="20"/>
        <v>0</v>
      </c>
      <c r="F118" s="21"/>
      <c r="G118" s="21"/>
      <c r="H118" s="17">
        <f t="shared" si="21"/>
        <v>0</v>
      </c>
      <c r="I118" s="21"/>
      <c r="J118" s="17">
        <f t="shared" si="22"/>
        <v>0</v>
      </c>
      <c r="K118" s="21"/>
      <c r="L118" s="22"/>
      <c r="M118" s="128" t="s">
        <v>173</v>
      </c>
      <c r="N118" s="125">
        <v>0</v>
      </c>
      <c r="O118" s="150">
        <f>IF(E$6="Port Telvannis",40000*Q118*(1-L$7)*(1-N118),0)</f>
        <v>0</v>
      </c>
      <c r="P118" s="145">
        <f t="shared" si="16"/>
        <v>0</v>
      </c>
      <c r="Q118" s="146">
        <f t="shared" si="19"/>
        <v>0</v>
      </c>
    </row>
    <row r="119" spans="1:17" ht="15.75" thickBot="1" x14ac:dyDescent="0.3">
      <c r="A119" s="132" t="s">
        <v>202</v>
      </c>
      <c r="B119" s="119">
        <f>SUM(P27:P118)</f>
        <v>120</v>
      </c>
      <c r="C119" s="89">
        <f>SUM(C27:C118)</f>
        <v>120</v>
      </c>
      <c r="D119" s="89">
        <f>SUM(D27:D118)</f>
        <v>150</v>
      </c>
      <c r="E119" s="89">
        <f>SUM(E27:E118)</f>
        <v>100</v>
      </c>
      <c r="F119" s="89">
        <f t="shared" ref="F119:L119" si="23">SUM(F27:F118)</f>
        <v>240</v>
      </c>
      <c r="G119" s="89">
        <f t="shared" si="23"/>
        <v>0</v>
      </c>
      <c r="H119" s="89">
        <f t="shared" si="23"/>
        <v>270</v>
      </c>
      <c r="I119" s="89">
        <f t="shared" si="23"/>
        <v>0</v>
      </c>
      <c r="J119" s="89">
        <f t="shared" si="23"/>
        <v>410</v>
      </c>
      <c r="K119" s="89">
        <f t="shared" si="23"/>
        <v>0</v>
      </c>
      <c r="L119" s="89">
        <f t="shared" si="23"/>
        <v>110</v>
      </c>
      <c r="M119" s="133"/>
      <c r="N119" s="134"/>
      <c r="O119" s="151">
        <f>SUM(O27:O118)</f>
        <v>270000</v>
      </c>
      <c r="P119" s="147"/>
      <c r="Q119" s="148"/>
    </row>
    <row r="120" spans="1:17" x14ac:dyDescent="0.25">
      <c r="A120" s="131" t="s">
        <v>216</v>
      </c>
    </row>
    <row r="122" spans="1:17" x14ac:dyDescent="0.25">
      <c r="A122" t="s">
        <v>160</v>
      </c>
    </row>
    <row r="123" spans="1:17" x14ac:dyDescent="0.25">
      <c r="A123" t="s">
        <v>22</v>
      </c>
      <c r="D123" t="s">
        <v>199</v>
      </c>
    </row>
    <row r="124" spans="1:17" x14ac:dyDescent="0.25">
      <c r="A124" t="s">
        <v>23</v>
      </c>
      <c r="B124" s="122">
        <v>0</v>
      </c>
      <c r="C124" t="s">
        <v>178</v>
      </c>
      <c r="D124" t="s">
        <v>200</v>
      </c>
      <c r="E124">
        <f>COUNTIF(M27:M111,"Possédée")+COUNTIF(M27:M111,"Assiégée")</f>
        <v>8</v>
      </c>
    </row>
    <row r="125" spans="1:17" x14ac:dyDescent="0.25">
      <c r="A125" t="s">
        <v>24</v>
      </c>
      <c r="B125" s="122">
        <v>0.05</v>
      </c>
      <c r="C125" t="s">
        <v>179</v>
      </c>
      <c r="D125" t="s">
        <v>217</v>
      </c>
      <c r="E125">
        <f>COUNTIF(M113:M118,"Possédée")+COUNTIF(M113:M118,"Assiégée")</f>
        <v>0</v>
      </c>
    </row>
    <row r="126" spans="1:17" x14ac:dyDescent="0.25">
      <c r="A126" t="s">
        <v>33</v>
      </c>
      <c r="B126" s="122">
        <v>0.1</v>
      </c>
      <c r="C126" t="s">
        <v>180</v>
      </c>
      <c r="D126" s="97" t="s">
        <v>218</v>
      </c>
      <c r="E126">
        <f>COUNTIF(M27:M118,"Possédée")+COUNTIF(M27:M118,"Assiégée")</f>
        <v>8</v>
      </c>
    </row>
    <row r="127" spans="1:17" x14ac:dyDescent="0.25">
      <c r="A127" t="s">
        <v>41</v>
      </c>
      <c r="B127" s="122">
        <v>0.15</v>
      </c>
      <c r="C127" t="s">
        <v>181</v>
      </c>
      <c r="D127" t="s">
        <v>201</v>
      </c>
      <c r="E127">
        <f>COUNTIF(M27:M118,"Assiégée")</f>
        <v>0</v>
      </c>
    </row>
    <row r="128" spans="1:17" x14ac:dyDescent="0.25">
      <c r="A128" t="s">
        <v>49</v>
      </c>
      <c r="B128" s="122">
        <v>0.2</v>
      </c>
      <c r="C128" t="s">
        <v>182</v>
      </c>
    </row>
    <row r="129" spans="1:3" x14ac:dyDescent="0.25">
      <c r="A129" t="s">
        <v>59</v>
      </c>
      <c r="B129" s="122">
        <v>0.25</v>
      </c>
      <c r="C129" t="s">
        <v>183</v>
      </c>
    </row>
    <row r="130" spans="1:3" x14ac:dyDescent="0.25">
      <c r="A130" t="s">
        <v>68</v>
      </c>
      <c r="B130" s="122">
        <v>0.3</v>
      </c>
      <c r="C130" t="s">
        <v>184</v>
      </c>
    </row>
    <row r="131" spans="1:3" x14ac:dyDescent="0.25">
      <c r="A131" t="s">
        <v>77</v>
      </c>
      <c r="B131" s="122">
        <v>0.35</v>
      </c>
      <c r="C131" t="s">
        <v>185</v>
      </c>
    </row>
    <row r="132" spans="1:3" x14ac:dyDescent="0.25">
      <c r="A132" t="s">
        <v>86</v>
      </c>
      <c r="B132" s="122">
        <v>0.4</v>
      </c>
      <c r="C132" t="s">
        <v>186</v>
      </c>
    </row>
    <row r="133" spans="1:3" x14ac:dyDescent="0.25">
      <c r="A133" t="s">
        <v>140</v>
      </c>
      <c r="B133" s="122">
        <v>0.45</v>
      </c>
      <c r="C133" t="s">
        <v>187</v>
      </c>
    </row>
    <row r="134" spans="1:3" x14ac:dyDescent="0.25">
      <c r="A134" t="s">
        <v>142</v>
      </c>
      <c r="B134" s="122">
        <v>0.5</v>
      </c>
      <c r="C134" t="s">
        <v>188</v>
      </c>
    </row>
    <row r="135" spans="1:3" x14ac:dyDescent="0.25">
      <c r="A135" t="s">
        <v>143</v>
      </c>
      <c r="B135" s="122">
        <v>0.55000000000000004</v>
      </c>
      <c r="C135" t="s">
        <v>189</v>
      </c>
    </row>
    <row r="136" spans="1:3" x14ac:dyDescent="0.25">
      <c r="A136" t="s">
        <v>144</v>
      </c>
      <c r="B136" s="122">
        <v>0.6</v>
      </c>
      <c r="C136" t="s">
        <v>190</v>
      </c>
    </row>
    <row r="137" spans="1:3" x14ac:dyDescent="0.25">
      <c r="A137" t="s">
        <v>145</v>
      </c>
      <c r="B137" s="122">
        <v>0.65</v>
      </c>
      <c r="C137" t="s">
        <v>191</v>
      </c>
    </row>
    <row r="138" spans="1:3" x14ac:dyDescent="0.25">
      <c r="A138" t="s">
        <v>146</v>
      </c>
      <c r="B138" s="122">
        <v>0.7</v>
      </c>
      <c r="C138" t="s">
        <v>192</v>
      </c>
    </row>
    <row r="139" spans="1:3" x14ac:dyDescent="0.25">
      <c r="A139" t="s">
        <v>147</v>
      </c>
      <c r="B139" s="122">
        <v>0.75</v>
      </c>
      <c r="C139" t="s">
        <v>193</v>
      </c>
    </row>
    <row r="140" spans="1:3" x14ac:dyDescent="0.25">
      <c r="A140" t="s">
        <v>219</v>
      </c>
      <c r="B140" s="122">
        <v>0.8</v>
      </c>
      <c r="C140" t="s">
        <v>194</v>
      </c>
    </row>
    <row r="141" spans="1:3" x14ac:dyDescent="0.25">
      <c r="B141" s="122">
        <v>0.85</v>
      </c>
      <c r="C141" t="s">
        <v>195</v>
      </c>
    </row>
    <row r="142" spans="1:3" x14ac:dyDescent="0.25">
      <c r="B142" s="122">
        <v>0.9</v>
      </c>
      <c r="C142" t="s">
        <v>196</v>
      </c>
    </row>
    <row r="143" spans="1:3" x14ac:dyDescent="0.25">
      <c r="B143" s="122">
        <v>0.95</v>
      </c>
      <c r="C143" t="s">
        <v>197</v>
      </c>
    </row>
    <row r="144" spans="1:3" x14ac:dyDescent="0.25">
      <c r="B144" s="122">
        <v>1</v>
      </c>
      <c r="C144" t="s">
        <v>198</v>
      </c>
    </row>
    <row r="145" spans="3:3" x14ac:dyDescent="0.25">
      <c r="C145" t="s">
        <v>209</v>
      </c>
    </row>
    <row r="146" spans="3:3" x14ac:dyDescent="0.25">
      <c r="C146" t="s">
        <v>210</v>
      </c>
    </row>
    <row r="147" spans="3:3" x14ac:dyDescent="0.25">
      <c r="C147" t="s">
        <v>211</v>
      </c>
    </row>
    <row r="148" spans="3:3" x14ac:dyDescent="0.25">
      <c r="C148" t="s">
        <v>212</v>
      </c>
    </row>
  </sheetData>
  <mergeCells count="6">
    <mergeCell ref="P25:Q25"/>
    <mergeCell ref="E6:G6"/>
    <mergeCell ref="H6:K6"/>
    <mergeCell ref="C7:D7"/>
    <mergeCell ref="H7:K7"/>
    <mergeCell ref="C25:L25"/>
  </mergeCells>
  <conditionalFormatting sqref="C21:L21">
    <cfRule type="cellIs" dxfId="71" priority="5" operator="greaterThanOrEqual">
      <formula>0</formula>
    </cfRule>
    <cfRule type="cellIs" dxfId="70" priority="6" operator="lessThan">
      <formula>0</formula>
    </cfRule>
  </conditionalFormatting>
  <conditionalFormatting sqref="C13:L13">
    <cfRule type="containsText" dxfId="69" priority="7" operator="containsText" text="Oui">
      <formula>NOT(ISERROR(SEARCH("Oui",C13)))</formula>
    </cfRule>
    <cfRule type="containsText" dxfId="68" priority="8" operator="containsText" text="Non">
      <formula>NOT(ISERROR(SEARCH("Non",C13)))</formula>
    </cfRule>
  </conditionalFormatting>
  <conditionalFormatting sqref="M27:M34 M36:M43 M45:M53 M55:M61 M63:M70 M72:M79 M81:M88 M90:M97 M99:M106 M108:M111 M113:M119">
    <cfRule type="containsText" dxfId="67" priority="2" operator="containsText" text="Non Possédée">
      <formula>NOT(ISERROR(SEARCH("Non Possédée",M27)))</formula>
    </cfRule>
    <cfRule type="containsText" dxfId="66" priority="3" operator="containsText" text="Assiégée">
      <formula>NOT(ISERROR(SEARCH("Assiégée",M27)))</formula>
    </cfRule>
    <cfRule type="containsText" dxfId="65" priority="4" operator="containsText" text="Possédée">
      <formula>NOT(ISERROR(SEARCH("Possédée",M27)))</formula>
    </cfRule>
  </conditionalFormatting>
  <conditionalFormatting sqref="N27:N34 N36:N43 N45:N53 N63:N70 N72:N79 N81:N88 N90:N97 N99:N106 N108:N111 N113:N119 N55:N61">
    <cfRule type="cellIs" dxfId="64" priority="1" operator="greaterThan">
      <formula>0</formula>
    </cfRule>
  </conditionalFormatting>
  <dataValidations count="4">
    <dataValidation type="list" errorStyle="information" allowBlank="1" showInputMessage="1" showErrorMessage="1" sqref="D8 E7">
      <formula1>Année</formula1>
    </dataValidation>
    <dataValidation type="list" allowBlank="1" showInputMessage="1" showErrorMessage="1" sqref="N108:N111 N27:N34 N36:N43 N113:N119 N45:N53 N63:N70 N72:N79 N81:N88 N90:N97 N99:N106 N55:N61">
      <formula1>Malus</formula1>
    </dataValidation>
    <dataValidation type="list" allowBlank="1" showInputMessage="1" showErrorMessage="1" sqref="M99:M106 M27:M34 M36:M43 M45:M53 M55:M61 M63:M70 M72:M79 M81:M88 M90:M97 M108:M111 M113:M119">
      <formula1>"Possédée,Assiégée,Non Possédée"</formula1>
    </dataValidation>
    <dataValidation type="list" allowBlank="1" showInputMessage="1" showErrorMessage="1" sqref="E6">
      <formula1>Provinces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8"/>
  <sheetViews>
    <sheetView workbookViewId="0">
      <selection activeCell="O1" sqref="O1"/>
    </sheetView>
  </sheetViews>
  <sheetFormatPr baseColWidth="10" defaultRowHeight="15" x14ac:dyDescent="0.25"/>
  <cols>
    <col min="1" max="1" width="21" customWidth="1"/>
    <col min="2" max="2" width="6.28515625" customWidth="1"/>
    <col min="13" max="13" width="13.85546875" customWidth="1"/>
    <col min="14" max="14" width="9.85546875" customWidth="1"/>
    <col min="15" max="15" width="10.140625" customWidth="1"/>
    <col min="16" max="16" width="12" customWidth="1"/>
    <col min="17" max="17" width="17.28515625" customWidth="1"/>
  </cols>
  <sheetData>
    <row r="1" spans="1:17" ht="21" x14ac:dyDescent="0.35">
      <c r="A1" s="2" t="s">
        <v>170</v>
      </c>
      <c r="B1" s="1"/>
    </row>
    <row r="3" spans="1:17" x14ac:dyDescent="0.25">
      <c r="A3" t="s">
        <v>141</v>
      </c>
    </row>
    <row r="4" spans="1:17" x14ac:dyDescent="0.25">
      <c r="A4" t="s">
        <v>220</v>
      </c>
    </row>
    <row r="6" spans="1:17" x14ac:dyDescent="0.25">
      <c r="A6" s="94" t="s">
        <v>148</v>
      </c>
      <c r="B6" s="95"/>
      <c r="C6" s="59" t="s">
        <v>149</v>
      </c>
      <c r="E6" s="156" t="s">
        <v>41</v>
      </c>
      <c r="F6" s="157"/>
      <c r="G6" s="158"/>
      <c r="H6" s="164" t="s">
        <v>207</v>
      </c>
      <c r="I6" s="165"/>
      <c r="J6" s="165"/>
      <c r="K6" s="163"/>
      <c r="L6" s="139">
        <v>8</v>
      </c>
      <c r="O6" s="137" t="s">
        <v>206</v>
      </c>
      <c r="Q6" s="97"/>
    </row>
    <row r="7" spans="1:17" x14ac:dyDescent="0.25">
      <c r="A7" s="98" t="s">
        <v>150</v>
      </c>
      <c r="B7" s="96"/>
      <c r="C7" s="166" t="s">
        <v>151</v>
      </c>
      <c r="D7" s="167"/>
      <c r="E7" s="138" t="s">
        <v>178</v>
      </c>
      <c r="F7" s="97"/>
      <c r="H7" s="162" t="s">
        <v>152</v>
      </c>
      <c r="I7" s="162"/>
      <c r="J7" s="162"/>
      <c r="K7" s="163"/>
      <c r="L7" s="140">
        <f>1-(COUNTIF(C13:L13,"Oui" )/10)</f>
        <v>0</v>
      </c>
      <c r="O7" s="153" t="s">
        <v>221</v>
      </c>
      <c r="P7" s="97"/>
      <c r="Q7" s="97"/>
    </row>
    <row r="8" spans="1:17" ht="15.75" thickBot="1" x14ac:dyDescent="0.3">
      <c r="A8" s="98"/>
      <c r="B8" s="96"/>
      <c r="H8" t="s">
        <v>208</v>
      </c>
      <c r="L8" s="152">
        <f>O119</f>
        <v>270000</v>
      </c>
      <c r="P8" s="97"/>
      <c r="Q8" s="97"/>
    </row>
    <row r="9" spans="1:17" ht="15.75" thickBot="1" x14ac:dyDescent="0.3">
      <c r="A9" s="97"/>
      <c r="B9" s="97"/>
      <c r="C9" s="100" t="s">
        <v>8</v>
      </c>
      <c r="D9" s="101" t="s">
        <v>9</v>
      </c>
      <c r="E9" s="101" t="s">
        <v>10</v>
      </c>
      <c r="F9" s="101" t="s">
        <v>137</v>
      </c>
      <c r="G9" s="101" t="s">
        <v>11</v>
      </c>
      <c r="H9" s="101" t="s">
        <v>138</v>
      </c>
      <c r="I9" s="101" t="s">
        <v>139</v>
      </c>
      <c r="J9" s="101" t="s">
        <v>12</v>
      </c>
      <c r="K9" s="101" t="s">
        <v>13</v>
      </c>
      <c r="L9" s="102" t="s">
        <v>105</v>
      </c>
    </row>
    <row r="10" spans="1:17" x14ac:dyDescent="0.25">
      <c r="A10" s="103" t="s">
        <v>153</v>
      </c>
      <c r="B10" s="97"/>
      <c r="C10" s="136">
        <v>120</v>
      </c>
      <c r="D10" s="104">
        <v>120</v>
      </c>
      <c r="E10" s="104">
        <v>120</v>
      </c>
      <c r="F10" s="104">
        <v>120</v>
      </c>
      <c r="G10" s="104">
        <v>120</v>
      </c>
      <c r="H10" s="104">
        <v>120</v>
      </c>
      <c r="I10" s="104">
        <v>120</v>
      </c>
      <c r="J10" s="104">
        <v>120</v>
      </c>
      <c r="K10" s="104">
        <v>120</v>
      </c>
      <c r="L10" s="135">
        <v>120</v>
      </c>
    </row>
    <row r="11" spans="1:17" x14ac:dyDescent="0.25">
      <c r="A11" s="103" t="s">
        <v>154</v>
      </c>
      <c r="B11" s="97"/>
      <c r="C11" s="105">
        <f>15*L6</f>
        <v>120</v>
      </c>
      <c r="D11" s="105">
        <f>15*L6</f>
        <v>120</v>
      </c>
      <c r="E11" s="105">
        <f>15*L6</f>
        <v>120</v>
      </c>
      <c r="F11" s="105">
        <f>15*L6</f>
        <v>120</v>
      </c>
      <c r="G11" s="105">
        <f>15*L6</f>
        <v>120</v>
      </c>
      <c r="H11" s="105">
        <f>15*L6</f>
        <v>120</v>
      </c>
      <c r="I11" s="105">
        <f>15*L6</f>
        <v>120</v>
      </c>
      <c r="J11" s="105">
        <f>15*L6</f>
        <v>120</v>
      </c>
      <c r="K11" s="105">
        <f>15*L6</f>
        <v>120</v>
      </c>
      <c r="L11" s="105">
        <f>15*L6</f>
        <v>120</v>
      </c>
    </row>
    <row r="12" spans="1:17" x14ac:dyDescent="0.25">
      <c r="A12" s="103" t="s">
        <v>155</v>
      </c>
      <c r="B12" s="97"/>
      <c r="C12" s="106">
        <f>C119</f>
        <v>220</v>
      </c>
      <c r="D12" s="106">
        <f>D119</f>
        <v>420</v>
      </c>
      <c r="E12" s="106">
        <f t="shared" ref="E12:L12" si="0">E119</f>
        <v>20</v>
      </c>
      <c r="F12" s="106">
        <f t="shared" si="0"/>
        <v>0</v>
      </c>
      <c r="G12" s="106">
        <f t="shared" si="0"/>
        <v>170</v>
      </c>
      <c r="H12" s="106">
        <f t="shared" si="0"/>
        <v>180</v>
      </c>
      <c r="I12" s="106">
        <f t="shared" si="0"/>
        <v>0</v>
      </c>
      <c r="J12" s="106">
        <f t="shared" si="0"/>
        <v>0</v>
      </c>
      <c r="K12" s="106">
        <f t="shared" si="0"/>
        <v>70</v>
      </c>
      <c r="L12" s="106">
        <f t="shared" si="0"/>
        <v>320</v>
      </c>
    </row>
    <row r="13" spans="1:17" x14ac:dyDescent="0.25">
      <c r="A13" s="88" t="s">
        <v>156</v>
      </c>
      <c r="B13" s="97"/>
      <c r="C13" s="107" t="str">
        <f>IF((C10-C11) &gt;= 0,"Oui","Non")</f>
        <v>Oui</v>
      </c>
      <c r="D13" s="107" t="str">
        <f t="shared" ref="D13:L13" si="1">IF((D10-D11) &gt;= 0,"Oui","Non")</f>
        <v>Oui</v>
      </c>
      <c r="E13" s="107" t="str">
        <f t="shared" si="1"/>
        <v>Oui</v>
      </c>
      <c r="F13" s="107" t="str">
        <f t="shared" si="1"/>
        <v>Oui</v>
      </c>
      <c r="G13" s="107" t="str">
        <f t="shared" si="1"/>
        <v>Oui</v>
      </c>
      <c r="H13" s="107" t="str">
        <f t="shared" si="1"/>
        <v>Oui</v>
      </c>
      <c r="I13" s="107" t="str">
        <f t="shared" si="1"/>
        <v>Oui</v>
      </c>
      <c r="J13" s="107" t="str">
        <f t="shared" si="1"/>
        <v>Oui</v>
      </c>
      <c r="K13" s="107" t="str">
        <f t="shared" si="1"/>
        <v>Oui</v>
      </c>
      <c r="L13" s="107" t="str">
        <f t="shared" si="1"/>
        <v>Oui</v>
      </c>
    </row>
    <row r="14" spans="1:17" x14ac:dyDescent="0.25">
      <c r="A14" s="103" t="s">
        <v>157</v>
      </c>
      <c r="B14" s="97"/>
      <c r="C14" s="108">
        <f>IF(C13="OUI",C10-C11+C12,C10+C12)</f>
        <v>220</v>
      </c>
      <c r="D14" s="108">
        <f>IF(D13="OUI",D10-D11+D12,D10+D12)</f>
        <v>420</v>
      </c>
      <c r="E14" s="108">
        <f t="shared" ref="E14:L14" si="2">IF(E13="OUI",E10-E11+E12,E10+E12)</f>
        <v>20</v>
      </c>
      <c r="F14" s="108">
        <f t="shared" si="2"/>
        <v>0</v>
      </c>
      <c r="G14" s="108">
        <f t="shared" si="2"/>
        <v>170</v>
      </c>
      <c r="H14" s="108">
        <f t="shared" si="2"/>
        <v>180</v>
      </c>
      <c r="I14" s="108">
        <f t="shared" si="2"/>
        <v>0</v>
      </c>
      <c r="J14" s="108">
        <f t="shared" si="2"/>
        <v>0</v>
      </c>
      <c r="K14" s="108">
        <f t="shared" si="2"/>
        <v>70</v>
      </c>
      <c r="L14" s="108">
        <f t="shared" si="2"/>
        <v>320</v>
      </c>
    </row>
    <row r="15" spans="1:17" x14ac:dyDescent="0.25">
      <c r="A15" s="103" t="s">
        <v>162</v>
      </c>
      <c r="B15" s="97"/>
      <c r="C15" s="142"/>
      <c r="D15" s="142"/>
      <c r="E15" s="142"/>
      <c r="F15" s="142"/>
      <c r="G15" s="142"/>
      <c r="H15" s="142"/>
      <c r="I15" s="142"/>
      <c r="J15" s="142"/>
      <c r="K15" s="142"/>
      <c r="L15" s="142"/>
    </row>
    <row r="16" spans="1:17" x14ac:dyDescent="0.25">
      <c r="A16" s="103" t="s">
        <v>165</v>
      </c>
      <c r="B16" s="97"/>
      <c r="C16" s="142"/>
      <c r="D16" s="142"/>
      <c r="E16" s="142"/>
      <c r="F16" s="142"/>
      <c r="G16" s="142"/>
      <c r="H16" s="142"/>
      <c r="I16" s="142"/>
      <c r="J16" s="142"/>
      <c r="K16" s="142"/>
      <c r="L16" s="142"/>
    </row>
    <row r="17" spans="1:17" x14ac:dyDescent="0.25">
      <c r="A17" s="103" t="s">
        <v>163</v>
      </c>
      <c r="B17" s="97"/>
      <c r="C17" s="141"/>
      <c r="D17" s="141"/>
      <c r="E17" s="141"/>
      <c r="F17" s="141"/>
      <c r="G17" s="141"/>
      <c r="H17" s="141"/>
      <c r="I17" s="141"/>
      <c r="J17" s="141"/>
      <c r="K17" s="141"/>
      <c r="L17" s="141"/>
    </row>
    <row r="18" spans="1:17" x14ac:dyDescent="0.25">
      <c r="A18" s="103" t="s">
        <v>164</v>
      </c>
      <c r="B18" s="97"/>
      <c r="C18" s="141"/>
      <c r="D18" s="141"/>
      <c r="E18" s="141"/>
      <c r="F18" s="141"/>
      <c r="G18" s="141"/>
      <c r="H18" s="141"/>
      <c r="I18" s="141"/>
      <c r="J18" s="141"/>
      <c r="K18" s="141"/>
      <c r="L18" s="141"/>
    </row>
    <row r="19" spans="1:17" x14ac:dyDescent="0.25">
      <c r="A19" s="109" t="s">
        <v>158</v>
      </c>
      <c r="B19" s="97"/>
      <c r="C19" s="110">
        <f>C14+C15+C16-C17-C18</f>
        <v>220</v>
      </c>
      <c r="D19" s="110">
        <f>D14+D15+D16-D17-D18</f>
        <v>420</v>
      </c>
      <c r="E19" s="110">
        <f t="shared" ref="E19:K19" si="3">E14+E15+E16-E17-E18</f>
        <v>20</v>
      </c>
      <c r="F19" s="110">
        <f>F14+F15+F16-F17-F18</f>
        <v>0</v>
      </c>
      <c r="G19" s="110">
        <f t="shared" si="3"/>
        <v>170</v>
      </c>
      <c r="H19" s="110">
        <f t="shared" si="3"/>
        <v>180</v>
      </c>
      <c r="I19" s="110">
        <f t="shared" si="3"/>
        <v>0</v>
      </c>
      <c r="J19" s="110">
        <f t="shared" si="3"/>
        <v>0</v>
      </c>
      <c r="K19" s="110">
        <f t="shared" si="3"/>
        <v>70</v>
      </c>
      <c r="L19" s="110">
        <f>L14+L15+L16-L17-L18</f>
        <v>320</v>
      </c>
    </row>
    <row r="20" spans="1:17" x14ac:dyDescent="0.25">
      <c r="A20" s="103" t="s">
        <v>161</v>
      </c>
      <c r="B20" s="97"/>
      <c r="C20" s="111">
        <f>(COUNTIF(M27:M111,"Possédée")+COUNTIF(M27:M111,"Assiégée"))*15</f>
        <v>120</v>
      </c>
      <c r="D20" s="111">
        <f>(COUNTIF(M27:M111,"Possédée")+COUNTIF(M27:M111,"Assiégée"))*15</f>
        <v>120</v>
      </c>
      <c r="E20" s="111">
        <f>(COUNTIF(M27:M111,"Possédée")+COUNTIF(M27:M111,"Assiégée"))*15</f>
        <v>120</v>
      </c>
      <c r="F20" s="111">
        <f>(COUNTIF(M27:M111,"Possédée")+COUNTIF(M27:M111,"Assiégée"))*15</f>
        <v>120</v>
      </c>
      <c r="G20" s="111">
        <f>(COUNTIF(M27:M111,"Possédée")+COUNTIF(M27:M111,"Assiégée"))*15</f>
        <v>120</v>
      </c>
      <c r="H20" s="111">
        <f>(COUNTIF(M27:M111,"Possédée")+COUNTIF(M27:M111,"Assiégée"))*15</f>
        <v>120</v>
      </c>
      <c r="I20" s="111">
        <f>(COUNTIF(M27:M111,"Possédée")+COUNTIF(M27:M111,"Assiégée"))*15</f>
        <v>120</v>
      </c>
      <c r="J20" s="111">
        <f>(COUNTIF(M27:M111,"Possédée")+COUNTIF(M27:M111,"Assiégée"))*15</f>
        <v>120</v>
      </c>
      <c r="K20" s="111">
        <f>(COUNTIF(M27:M111,"Possédée")+COUNTIF(M27:M111,"Assiégée"))*15</f>
        <v>120</v>
      </c>
      <c r="L20" s="111">
        <f>(COUNTIF(M27:M111,"Possédée")+COUNTIF(M27:M111,"Assiégée"))*15</f>
        <v>120</v>
      </c>
    </row>
    <row r="21" spans="1:17" x14ac:dyDescent="0.25">
      <c r="A21" s="103" t="s">
        <v>159</v>
      </c>
      <c r="B21" s="97"/>
      <c r="C21" s="112">
        <f>C19-C20</f>
        <v>100</v>
      </c>
      <c r="D21" s="112">
        <f t="shared" ref="D21:L21" si="4">D19-D20</f>
        <v>300</v>
      </c>
      <c r="E21" s="112">
        <f>E19-E20</f>
        <v>-100</v>
      </c>
      <c r="F21" s="112">
        <f>F19-F20</f>
        <v>-120</v>
      </c>
      <c r="G21" s="112">
        <f t="shared" si="4"/>
        <v>50</v>
      </c>
      <c r="H21" s="112">
        <f t="shared" si="4"/>
        <v>60</v>
      </c>
      <c r="I21" s="112">
        <f t="shared" si="4"/>
        <v>-120</v>
      </c>
      <c r="J21" s="112">
        <f t="shared" si="4"/>
        <v>-120</v>
      </c>
      <c r="K21" s="112">
        <f t="shared" si="4"/>
        <v>-50</v>
      </c>
      <c r="L21" s="112">
        <f t="shared" si="4"/>
        <v>200</v>
      </c>
    </row>
    <row r="22" spans="1:17" x14ac:dyDescent="0.25">
      <c r="A22" s="103"/>
      <c r="B22" s="97"/>
    </row>
    <row r="23" spans="1:17" x14ac:dyDescent="0.25">
      <c r="O23" s="99" t="s">
        <v>176</v>
      </c>
    </row>
    <row r="24" spans="1:17" ht="15.75" thickBot="1" x14ac:dyDescent="0.3">
      <c r="A24" s="114" t="s">
        <v>160</v>
      </c>
      <c r="H24" s="97"/>
      <c r="I24" s="97"/>
      <c r="J24" s="97"/>
    </row>
    <row r="25" spans="1:17" ht="15.75" thickBot="1" x14ac:dyDescent="0.3">
      <c r="A25" s="121" t="s">
        <v>168</v>
      </c>
      <c r="B25" s="75" t="s">
        <v>167</v>
      </c>
      <c r="C25" s="159" t="s">
        <v>169</v>
      </c>
      <c r="D25" s="160"/>
      <c r="E25" s="160"/>
      <c r="F25" s="160"/>
      <c r="G25" s="160"/>
      <c r="H25" s="160"/>
      <c r="I25" s="160"/>
      <c r="J25" s="160"/>
      <c r="K25" s="160"/>
      <c r="L25" s="161"/>
      <c r="M25" s="129" t="s">
        <v>171</v>
      </c>
      <c r="N25" s="115" t="s">
        <v>172</v>
      </c>
      <c r="O25" s="129" t="s">
        <v>213</v>
      </c>
      <c r="P25" s="154" t="s">
        <v>203</v>
      </c>
      <c r="Q25" s="155"/>
    </row>
    <row r="26" spans="1:17" ht="15.75" thickBot="1" x14ac:dyDescent="0.3">
      <c r="A26" s="3" t="s">
        <v>22</v>
      </c>
      <c r="B26" s="120" t="s">
        <v>166</v>
      </c>
      <c r="C26" s="91" t="s">
        <v>8</v>
      </c>
      <c r="D26" s="92" t="s">
        <v>9</v>
      </c>
      <c r="E26" s="92" t="s">
        <v>10</v>
      </c>
      <c r="F26" s="92" t="s">
        <v>137</v>
      </c>
      <c r="G26" s="92" t="s">
        <v>11</v>
      </c>
      <c r="H26" s="92" t="s">
        <v>138</v>
      </c>
      <c r="I26" s="92" t="s">
        <v>139</v>
      </c>
      <c r="J26" s="92" t="s">
        <v>12</v>
      </c>
      <c r="K26" s="92" t="s">
        <v>13</v>
      </c>
      <c r="L26" s="93" t="s">
        <v>105</v>
      </c>
      <c r="M26" s="130" t="s">
        <v>175</v>
      </c>
      <c r="N26" s="118" t="s">
        <v>177</v>
      </c>
      <c r="O26" s="130" t="s">
        <v>214</v>
      </c>
      <c r="P26" s="147" t="s">
        <v>204</v>
      </c>
      <c r="Q26" s="148" t="s">
        <v>205</v>
      </c>
    </row>
    <row r="27" spans="1:17" x14ac:dyDescent="0.25">
      <c r="A27" t="s">
        <v>0</v>
      </c>
      <c r="B27" s="115">
        <v>15</v>
      </c>
      <c r="C27" s="15"/>
      <c r="D27" s="15"/>
      <c r="E27" s="15"/>
      <c r="F27" s="15"/>
      <c r="G27" s="15"/>
      <c r="H27" s="15"/>
      <c r="I27" s="15">
        <f>TRUNC(90*Q27*(1-L7)*(1-N27))</f>
        <v>0</v>
      </c>
      <c r="J27" s="15"/>
      <c r="K27" s="15"/>
      <c r="L27" s="16">
        <f>TRUNC(120*Q27*(1-L7)*(1-N27))</f>
        <v>0</v>
      </c>
      <c r="M27" s="126" t="s">
        <v>173</v>
      </c>
      <c r="N27" s="123">
        <v>0</v>
      </c>
      <c r="O27" s="149">
        <f>IF(E$6="Archipel de l'Automne",60000*Q27*(1-L$7)*(1-N27),30000*Q27*(1-L$7)*(1-N27))</f>
        <v>0</v>
      </c>
      <c r="P27" s="143">
        <f>IF(OR(M27="Possédée",M27="Assiégée"),B27,0)</f>
        <v>0</v>
      </c>
      <c r="Q27" s="144">
        <f>IF(M27="Possédée",1,IF(M27="Assiégée",0.5,0))</f>
        <v>0</v>
      </c>
    </row>
    <row r="28" spans="1:17" x14ac:dyDescent="0.25">
      <c r="A28" t="s">
        <v>1</v>
      </c>
      <c r="B28" s="116">
        <v>15</v>
      </c>
      <c r="C28" s="17"/>
      <c r="D28" s="17"/>
      <c r="E28" s="17"/>
      <c r="F28" s="17"/>
      <c r="G28" s="17">
        <f>TRUNC(30*Q28*(1-L7)*(1-N28))</f>
        <v>0</v>
      </c>
      <c r="H28" s="17"/>
      <c r="I28" s="17"/>
      <c r="J28" s="17"/>
      <c r="K28" s="17"/>
      <c r="L28" s="18">
        <f>TRUNC(140*Q28*(1-L7)*(1-N28))</f>
        <v>0</v>
      </c>
      <c r="M28" s="127" t="s">
        <v>173</v>
      </c>
      <c r="N28" s="124">
        <v>0</v>
      </c>
      <c r="O28" s="150">
        <f>30000*Q28*(1-L$7)*(1-N28)</f>
        <v>0</v>
      </c>
      <c r="P28" s="145">
        <f>IF(OR(M28="Possédée",M28="Assiégée"),B28,0)</f>
        <v>0</v>
      </c>
      <c r="Q28" s="146">
        <f t="shared" ref="Q28:Q91" si="5">IF(M28="Possédée",1,IF(M28="Assiégée",0.5,0))</f>
        <v>0</v>
      </c>
    </row>
    <row r="29" spans="1:17" x14ac:dyDescent="0.25">
      <c r="A29" t="s">
        <v>2</v>
      </c>
      <c r="B29" s="116">
        <v>15</v>
      </c>
      <c r="C29" s="17">
        <f>TRUNC(60*Q29*(1-L7)*(1-N29))</f>
        <v>0</v>
      </c>
      <c r="D29" s="17"/>
      <c r="E29" s="17"/>
      <c r="F29" s="17"/>
      <c r="G29" s="17"/>
      <c r="H29" s="17"/>
      <c r="I29" s="17">
        <f>TRUNC(110*Q29*(1-L7)*(1-N29))</f>
        <v>0</v>
      </c>
      <c r="J29" s="17"/>
      <c r="K29" s="17"/>
      <c r="L29" s="18"/>
      <c r="M29" s="127" t="s">
        <v>173</v>
      </c>
      <c r="N29" s="124">
        <v>0</v>
      </c>
      <c r="O29" s="150">
        <f t="shared" ref="O29:O34" si="6">30000*Q29*(1-L$7)*(1-N29)</f>
        <v>0</v>
      </c>
      <c r="P29" s="145">
        <f t="shared" ref="P29:P92" si="7">IF(OR(M29="Possédée",M29="Assiégée"),B29,0)</f>
        <v>0</v>
      </c>
      <c r="Q29" s="146">
        <f t="shared" si="5"/>
        <v>0</v>
      </c>
    </row>
    <row r="30" spans="1:17" x14ac:dyDescent="0.25">
      <c r="A30" t="s">
        <v>3</v>
      </c>
      <c r="B30" s="116">
        <v>15</v>
      </c>
      <c r="C30" s="17">
        <f>TRUNC(40*Q30*(1-L7)*(1-N30))</f>
        <v>0</v>
      </c>
      <c r="D30" s="17"/>
      <c r="E30" s="17"/>
      <c r="F30" s="17"/>
      <c r="G30" s="17"/>
      <c r="H30" s="17"/>
      <c r="I30" s="17">
        <f>TRUNC(60*Q30*(1-L7)*(1-N30))</f>
        <v>0</v>
      </c>
      <c r="J30" s="17"/>
      <c r="K30" s="17">
        <f>TRUNC(70*Q30*(1-L7)*(1-N30))</f>
        <v>0</v>
      </c>
      <c r="L30" s="18"/>
      <c r="M30" s="127" t="s">
        <v>173</v>
      </c>
      <c r="N30" s="124">
        <v>0</v>
      </c>
      <c r="O30" s="150">
        <f t="shared" si="6"/>
        <v>0</v>
      </c>
      <c r="P30" s="145">
        <f t="shared" si="7"/>
        <v>0</v>
      </c>
      <c r="Q30" s="146">
        <f t="shared" si="5"/>
        <v>0</v>
      </c>
    </row>
    <row r="31" spans="1:17" x14ac:dyDescent="0.25">
      <c r="A31" t="s">
        <v>4</v>
      </c>
      <c r="B31" s="116">
        <v>15</v>
      </c>
      <c r="C31" s="17"/>
      <c r="D31" s="17"/>
      <c r="E31" s="17"/>
      <c r="F31" s="17"/>
      <c r="G31" s="17"/>
      <c r="H31" s="17"/>
      <c r="I31" s="17">
        <f>TRUNC(80*Q31*(1-L7)*(1-N31))</f>
        <v>0</v>
      </c>
      <c r="J31" s="17"/>
      <c r="K31" s="17"/>
      <c r="L31" s="18">
        <f>TRUNC(90*Q31*(1-L7)*(1-N31))</f>
        <v>0</v>
      </c>
      <c r="M31" s="127" t="s">
        <v>173</v>
      </c>
      <c r="N31" s="124">
        <v>0</v>
      </c>
      <c r="O31" s="150">
        <f t="shared" si="6"/>
        <v>0</v>
      </c>
      <c r="P31" s="145">
        <f t="shared" si="7"/>
        <v>0</v>
      </c>
      <c r="Q31" s="146">
        <f t="shared" si="5"/>
        <v>0</v>
      </c>
    </row>
    <row r="32" spans="1:17" x14ac:dyDescent="0.25">
      <c r="A32" t="s">
        <v>5</v>
      </c>
      <c r="B32" s="116">
        <v>15</v>
      </c>
      <c r="C32" s="17"/>
      <c r="D32" s="17"/>
      <c r="E32" s="17"/>
      <c r="F32" s="17"/>
      <c r="G32" s="17"/>
      <c r="H32" s="17"/>
      <c r="I32" s="17"/>
      <c r="J32" s="17"/>
      <c r="K32" s="17">
        <f>TRUNC(170*Q32*(1-L7)*(1-N32))</f>
        <v>0</v>
      </c>
      <c r="L32" s="18"/>
      <c r="M32" s="127" t="s">
        <v>173</v>
      </c>
      <c r="N32" s="124">
        <v>0</v>
      </c>
      <c r="O32" s="150">
        <f t="shared" si="6"/>
        <v>0</v>
      </c>
      <c r="P32" s="145">
        <f t="shared" si="7"/>
        <v>0</v>
      </c>
      <c r="Q32" s="146">
        <f t="shared" si="5"/>
        <v>0</v>
      </c>
    </row>
    <row r="33" spans="1:17" x14ac:dyDescent="0.25">
      <c r="A33" t="s">
        <v>6</v>
      </c>
      <c r="B33" s="116">
        <v>15</v>
      </c>
      <c r="C33" s="17">
        <f>TRUNC(40*Q33*(1-L7)*(1-N33))</f>
        <v>0</v>
      </c>
      <c r="D33" s="17"/>
      <c r="E33" s="17"/>
      <c r="F33" s="17">
        <f>TRUNC(130*Q33*(1-L7)*(1-N33))</f>
        <v>0</v>
      </c>
      <c r="G33" s="17"/>
      <c r="H33" s="17"/>
      <c r="I33" s="17"/>
      <c r="J33" s="17"/>
      <c r="K33" s="17"/>
      <c r="L33" s="18"/>
      <c r="M33" s="127" t="s">
        <v>173</v>
      </c>
      <c r="N33" s="124">
        <v>0</v>
      </c>
      <c r="O33" s="150">
        <f t="shared" si="6"/>
        <v>0</v>
      </c>
      <c r="P33" s="145">
        <f t="shared" si="7"/>
        <v>0</v>
      </c>
      <c r="Q33" s="146">
        <f t="shared" si="5"/>
        <v>0</v>
      </c>
    </row>
    <row r="34" spans="1:17" ht="15.75" thickBot="1" x14ac:dyDescent="0.3">
      <c r="A34" t="s">
        <v>7</v>
      </c>
      <c r="B34" s="116">
        <v>15</v>
      </c>
      <c r="C34" s="17"/>
      <c r="D34" s="17">
        <f>TRUNC(70*Q34*(1-L7)*(1-N34))</f>
        <v>0</v>
      </c>
      <c r="E34" s="17"/>
      <c r="F34" s="17"/>
      <c r="G34" s="17"/>
      <c r="H34" s="17"/>
      <c r="I34" s="17"/>
      <c r="J34" s="17"/>
      <c r="K34" s="17"/>
      <c r="L34" s="18">
        <f>TRUNC(100*Q34*(1-L7)*(1-N34))</f>
        <v>0</v>
      </c>
      <c r="M34" s="127" t="s">
        <v>173</v>
      </c>
      <c r="N34" s="124">
        <v>0</v>
      </c>
      <c r="O34" s="150">
        <f t="shared" si="6"/>
        <v>0</v>
      </c>
      <c r="P34" s="145">
        <f>IF(OR(M34="Possédée",M34="Assiégée"),B34,0)</f>
        <v>0</v>
      </c>
      <c r="Q34" s="146">
        <f t="shared" si="5"/>
        <v>0</v>
      </c>
    </row>
    <row r="35" spans="1:17" ht="15.75" thickBot="1" x14ac:dyDescent="0.3">
      <c r="A35" s="10" t="s">
        <v>23</v>
      </c>
      <c r="B35" s="117" t="s">
        <v>166</v>
      </c>
      <c r="C35" s="91" t="s">
        <v>8</v>
      </c>
      <c r="D35" s="92" t="s">
        <v>9</v>
      </c>
      <c r="E35" s="92" t="s">
        <v>10</v>
      </c>
      <c r="F35" s="92" t="s">
        <v>137</v>
      </c>
      <c r="G35" s="92" t="s">
        <v>11</v>
      </c>
      <c r="H35" s="92" t="s">
        <v>138</v>
      </c>
      <c r="I35" s="92" t="s">
        <v>139</v>
      </c>
      <c r="J35" s="92" t="s">
        <v>12</v>
      </c>
      <c r="K35" s="92" t="s">
        <v>13</v>
      </c>
      <c r="L35" s="93" t="s">
        <v>105</v>
      </c>
      <c r="M35" s="93"/>
      <c r="N35" s="93"/>
      <c r="O35" s="151"/>
      <c r="P35" s="147"/>
      <c r="Q35" s="148"/>
    </row>
    <row r="36" spans="1:17" x14ac:dyDescent="0.25">
      <c r="A36" t="s">
        <v>14</v>
      </c>
      <c r="B36" s="115">
        <v>15</v>
      </c>
      <c r="C36" s="19"/>
      <c r="D36" s="17"/>
      <c r="E36" s="17">
        <f>TRUNC(60*Q36*(1-L7)*(1-N36))</f>
        <v>0</v>
      </c>
      <c r="F36" s="17"/>
      <c r="G36" s="17">
        <f>TRUNC(150*Q36*(1-L7)*(1-N36))</f>
        <v>0</v>
      </c>
      <c r="H36" s="17"/>
      <c r="I36" s="17"/>
      <c r="J36" s="17"/>
      <c r="K36" s="17"/>
      <c r="L36" s="18"/>
      <c r="M36" s="127" t="s">
        <v>173</v>
      </c>
      <c r="N36" s="124">
        <v>0</v>
      </c>
      <c r="O36" s="149">
        <f>IF(E$6="Bordeciel",60000*Q36*(1-L$7)*(1-N36),30000*Q36*(1-L$7)*(1-N36))</f>
        <v>0</v>
      </c>
      <c r="P36" s="145">
        <f t="shared" si="7"/>
        <v>0</v>
      </c>
      <c r="Q36" s="146">
        <f t="shared" si="5"/>
        <v>0</v>
      </c>
    </row>
    <row r="37" spans="1:17" x14ac:dyDescent="0.25">
      <c r="A37" t="s">
        <v>15</v>
      </c>
      <c r="B37" s="116">
        <v>15</v>
      </c>
      <c r="C37" s="19"/>
      <c r="D37" s="17"/>
      <c r="E37" s="17"/>
      <c r="F37" s="17"/>
      <c r="G37" s="17"/>
      <c r="H37" s="17"/>
      <c r="I37" s="17"/>
      <c r="J37" s="17"/>
      <c r="K37" s="17">
        <f>TRUNC(170*Q37*(1-L7)*(1-N37))</f>
        <v>0</v>
      </c>
      <c r="L37" s="18"/>
      <c r="M37" s="127" t="s">
        <v>173</v>
      </c>
      <c r="N37" s="124">
        <v>0</v>
      </c>
      <c r="O37" s="150">
        <f>30000*Q37*(1-L$7)*(1-N37)</f>
        <v>0</v>
      </c>
      <c r="P37" s="145">
        <f t="shared" si="7"/>
        <v>0</v>
      </c>
      <c r="Q37" s="146">
        <f t="shared" si="5"/>
        <v>0</v>
      </c>
    </row>
    <row r="38" spans="1:17" x14ac:dyDescent="0.25">
      <c r="A38" t="s">
        <v>16</v>
      </c>
      <c r="B38" s="116">
        <v>15</v>
      </c>
      <c r="C38" s="19"/>
      <c r="D38" s="17">
        <f>TRUNC(130*Q38*(1-L7)*(1-N38))</f>
        <v>0</v>
      </c>
      <c r="E38" s="17"/>
      <c r="F38" s="17"/>
      <c r="G38" s="17">
        <f>TRUNC(40*Q38*(1-L7)*(1-N38))</f>
        <v>0</v>
      </c>
      <c r="H38" s="17"/>
      <c r="I38" s="17"/>
      <c r="J38" s="17"/>
      <c r="K38" s="17"/>
      <c r="L38" s="18"/>
      <c r="M38" s="127" t="s">
        <v>173</v>
      </c>
      <c r="N38" s="124">
        <v>0</v>
      </c>
      <c r="O38" s="150">
        <f t="shared" ref="O38:O43" si="8">30000*Q38*(1-L$7)*(1-N38)</f>
        <v>0</v>
      </c>
      <c r="P38" s="145">
        <f t="shared" si="7"/>
        <v>0</v>
      </c>
      <c r="Q38" s="146">
        <f t="shared" si="5"/>
        <v>0</v>
      </c>
    </row>
    <row r="39" spans="1:17" x14ac:dyDescent="0.25">
      <c r="A39" t="s">
        <v>17</v>
      </c>
      <c r="B39" s="116">
        <v>15</v>
      </c>
      <c r="C39" s="19">
        <f>TRUNC(70*Q39*(1-L7)*(1-N39))</f>
        <v>0</v>
      </c>
      <c r="D39" s="17">
        <f>TRUNC(60*Q39*(1-L7)*(1-N39))</f>
        <v>0</v>
      </c>
      <c r="E39" s="17">
        <f>TRUNC(40*Q39*(1-L7)*(1-N39))</f>
        <v>0</v>
      </c>
      <c r="F39" s="17"/>
      <c r="G39" s="17"/>
      <c r="H39" s="17"/>
      <c r="I39" s="17"/>
      <c r="J39" s="17"/>
      <c r="K39" s="17"/>
      <c r="L39" s="18"/>
      <c r="M39" s="127" t="s">
        <v>173</v>
      </c>
      <c r="N39" s="124">
        <v>0</v>
      </c>
      <c r="O39" s="150">
        <f t="shared" si="8"/>
        <v>0</v>
      </c>
      <c r="P39" s="145">
        <f t="shared" si="7"/>
        <v>0</v>
      </c>
      <c r="Q39" s="146">
        <f t="shared" si="5"/>
        <v>0</v>
      </c>
    </row>
    <row r="40" spans="1:17" x14ac:dyDescent="0.25">
      <c r="A40" t="s">
        <v>18</v>
      </c>
      <c r="B40" s="116">
        <v>15</v>
      </c>
      <c r="C40" s="19"/>
      <c r="D40" s="17">
        <f>TRUNC(20*Q40*(1-L7)*(1-N40))</f>
        <v>0</v>
      </c>
      <c r="E40" s="17"/>
      <c r="F40" s="17">
        <f>TRUNC(100*Q40*(1-L7)*(1-N40))</f>
        <v>0</v>
      </c>
      <c r="G40" s="17">
        <f>TRUNC(50*Q40*(1-L7)*(1-N40))</f>
        <v>0</v>
      </c>
      <c r="H40" s="17"/>
      <c r="I40" s="17"/>
      <c r="J40" s="17"/>
      <c r="K40" s="17"/>
      <c r="L40" s="18"/>
      <c r="M40" s="127" t="s">
        <v>173</v>
      </c>
      <c r="N40" s="124">
        <v>0</v>
      </c>
      <c r="O40" s="150">
        <f t="shared" si="8"/>
        <v>0</v>
      </c>
      <c r="P40" s="145">
        <f t="shared" si="7"/>
        <v>0</v>
      </c>
      <c r="Q40" s="146">
        <f t="shared" si="5"/>
        <v>0</v>
      </c>
    </row>
    <row r="41" spans="1:17" x14ac:dyDescent="0.25">
      <c r="A41" t="s">
        <v>19</v>
      </c>
      <c r="B41" s="116">
        <v>15</v>
      </c>
      <c r="C41" s="19"/>
      <c r="D41" s="17"/>
      <c r="E41" s="17"/>
      <c r="F41" s="17"/>
      <c r="G41" s="17">
        <f>TRUNC(170*Q41*(1-L7)*(1-N41))</f>
        <v>0</v>
      </c>
      <c r="H41" s="17"/>
      <c r="I41" s="17"/>
      <c r="J41" s="17"/>
      <c r="K41" s="17"/>
      <c r="L41" s="18"/>
      <c r="M41" s="127" t="s">
        <v>173</v>
      </c>
      <c r="N41" s="124">
        <v>0</v>
      </c>
      <c r="O41" s="150">
        <f t="shared" si="8"/>
        <v>0</v>
      </c>
      <c r="P41" s="145">
        <f t="shared" si="7"/>
        <v>0</v>
      </c>
      <c r="Q41" s="146">
        <f t="shared" si="5"/>
        <v>0</v>
      </c>
    </row>
    <row r="42" spans="1:17" x14ac:dyDescent="0.25">
      <c r="A42" t="s">
        <v>20</v>
      </c>
      <c r="B42" s="116">
        <v>15</v>
      </c>
      <c r="C42" s="19"/>
      <c r="D42" s="17"/>
      <c r="E42" s="17">
        <f>TRUNC(90*Q42*(1-L7)*(1-N42))</f>
        <v>0</v>
      </c>
      <c r="F42" s="17">
        <f>TRUNC(40*Q42*(1-L7)*(1-N42))</f>
        <v>0</v>
      </c>
      <c r="G42" s="17"/>
      <c r="H42" s="17"/>
      <c r="I42" s="17"/>
      <c r="J42" s="17"/>
      <c r="K42" s="17">
        <f>TRUNC(40*Q42*(1-L7)*(1-N42))</f>
        <v>0</v>
      </c>
      <c r="L42" s="18"/>
      <c r="M42" s="127" t="s">
        <v>173</v>
      </c>
      <c r="N42" s="124">
        <v>0</v>
      </c>
      <c r="O42" s="150">
        <f t="shared" si="8"/>
        <v>0</v>
      </c>
      <c r="P42" s="145">
        <f t="shared" si="7"/>
        <v>0</v>
      </c>
      <c r="Q42" s="146">
        <f t="shared" si="5"/>
        <v>0</v>
      </c>
    </row>
    <row r="43" spans="1:17" ht="15.75" thickBot="1" x14ac:dyDescent="0.3">
      <c r="A43" t="s">
        <v>21</v>
      </c>
      <c r="B43" s="116">
        <v>15</v>
      </c>
      <c r="C43" s="19"/>
      <c r="D43" s="17"/>
      <c r="E43" s="17"/>
      <c r="F43" s="17"/>
      <c r="G43" s="17">
        <f>TRUNC(70*Q43*(1-L7)*(1-N43))</f>
        <v>0</v>
      </c>
      <c r="H43" s="17"/>
      <c r="I43" s="17"/>
      <c r="J43" s="17"/>
      <c r="K43" s="17">
        <f>TRUNC(100*Q43*(1-L7)*(1-N43))</f>
        <v>0</v>
      </c>
      <c r="L43" s="18"/>
      <c r="M43" s="127" t="s">
        <v>173</v>
      </c>
      <c r="N43" s="124">
        <v>0</v>
      </c>
      <c r="O43" s="150">
        <f t="shared" si="8"/>
        <v>0</v>
      </c>
      <c r="P43" s="145">
        <f t="shared" si="7"/>
        <v>0</v>
      </c>
      <c r="Q43" s="146">
        <f t="shared" si="5"/>
        <v>0</v>
      </c>
    </row>
    <row r="44" spans="1:17" ht="15.75" thickBot="1" x14ac:dyDescent="0.3">
      <c r="A44" s="3" t="s">
        <v>24</v>
      </c>
      <c r="B44" s="117" t="s">
        <v>166</v>
      </c>
      <c r="C44" s="91" t="s">
        <v>8</v>
      </c>
      <c r="D44" s="92" t="s">
        <v>9</v>
      </c>
      <c r="E44" s="92" t="s">
        <v>10</v>
      </c>
      <c r="F44" s="92" t="s">
        <v>137</v>
      </c>
      <c r="G44" s="92" t="s">
        <v>11</v>
      </c>
      <c r="H44" s="92" t="s">
        <v>138</v>
      </c>
      <c r="I44" s="92" t="s">
        <v>139</v>
      </c>
      <c r="J44" s="92" t="s">
        <v>12</v>
      </c>
      <c r="K44" s="92" t="s">
        <v>13</v>
      </c>
      <c r="L44" s="93" t="s">
        <v>105</v>
      </c>
      <c r="M44" s="93"/>
      <c r="N44" s="93"/>
      <c r="O44" s="151"/>
      <c r="P44" s="147"/>
      <c r="Q44" s="148"/>
    </row>
    <row r="45" spans="1:17" x14ac:dyDescent="0.25">
      <c r="A45" t="s">
        <v>25</v>
      </c>
      <c r="B45" s="115">
        <v>15</v>
      </c>
      <c r="C45" s="15"/>
      <c r="D45" s="15">
        <f>TRUNC(20*Q45*(1-L7)*(1-N45))</f>
        <v>0</v>
      </c>
      <c r="E45" s="15"/>
      <c r="F45" s="15"/>
      <c r="G45" s="15"/>
      <c r="H45" s="15"/>
      <c r="I45" s="15">
        <f>TRUNC(150*Q45*(1-L7)*(1-N45))</f>
        <v>0</v>
      </c>
      <c r="J45" s="15"/>
      <c r="K45" s="15"/>
      <c r="L45" s="16">
        <f>TRUNC(40*Q45*(1-L7)*(1-N45))</f>
        <v>0</v>
      </c>
      <c r="M45" s="127" t="s">
        <v>173</v>
      </c>
      <c r="N45" s="124">
        <v>0</v>
      </c>
      <c r="O45" s="149">
        <f>IF(E$6="Cyrodiil",60000*Q45*(1-L$7)*(1-N45),30000*Q45*(1-L$7)*(1-N45))</f>
        <v>0</v>
      </c>
      <c r="P45" s="145">
        <f t="shared" si="7"/>
        <v>0</v>
      </c>
      <c r="Q45" s="146">
        <f t="shared" si="5"/>
        <v>0</v>
      </c>
    </row>
    <row r="46" spans="1:17" x14ac:dyDescent="0.25">
      <c r="A46" t="s">
        <v>27</v>
      </c>
      <c r="B46" s="116">
        <v>15</v>
      </c>
      <c r="C46" s="17"/>
      <c r="D46" s="17">
        <f>TRUNC(120*Q46*(1-L7)*(1-N46))</f>
        <v>0</v>
      </c>
      <c r="E46" s="17">
        <f>TRUNC(50*Q46*(1-L7)*(1-N46))</f>
        <v>0</v>
      </c>
      <c r="F46" s="17"/>
      <c r="G46" s="17"/>
      <c r="H46" s="17"/>
      <c r="I46" s="17"/>
      <c r="J46" s="17"/>
      <c r="K46" s="17"/>
      <c r="L46" s="18"/>
      <c r="M46" s="127" t="s">
        <v>173</v>
      </c>
      <c r="N46" s="124">
        <v>0</v>
      </c>
      <c r="O46" s="150">
        <f>30000*Q46*(1-L$7)*(1-N46)</f>
        <v>0</v>
      </c>
      <c r="P46" s="145">
        <f t="shared" si="7"/>
        <v>0</v>
      </c>
      <c r="Q46" s="146">
        <f t="shared" si="5"/>
        <v>0</v>
      </c>
    </row>
    <row r="47" spans="1:17" x14ac:dyDescent="0.25">
      <c r="A47" t="s">
        <v>26</v>
      </c>
      <c r="B47" s="116">
        <v>15</v>
      </c>
      <c r="C47" s="17"/>
      <c r="D47" s="17">
        <f>TRUNC(60*Q47*(1-L7)*(1-N47))</f>
        <v>0</v>
      </c>
      <c r="E47" s="17">
        <f>TRUNC(110*Q47*(1-L7)*(1-N47))</f>
        <v>0</v>
      </c>
      <c r="F47" s="17"/>
      <c r="G47" s="17"/>
      <c r="H47" s="17"/>
      <c r="I47" s="17"/>
      <c r="J47" s="17"/>
      <c r="K47" s="17"/>
      <c r="L47" s="18"/>
      <c r="M47" s="127" t="s">
        <v>173</v>
      </c>
      <c r="N47" s="124">
        <v>0</v>
      </c>
      <c r="O47" s="150">
        <f>30000*Q47*(1-L$7)*(1-N47)</f>
        <v>0</v>
      </c>
      <c r="P47" s="145">
        <f t="shared" si="7"/>
        <v>0</v>
      </c>
      <c r="Q47" s="146">
        <f t="shared" si="5"/>
        <v>0</v>
      </c>
    </row>
    <row r="48" spans="1:17" x14ac:dyDescent="0.25">
      <c r="A48" t="s">
        <v>28</v>
      </c>
      <c r="B48" s="116">
        <v>15</v>
      </c>
      <c r="C48" s="17"/>
      <c r="D48" s="17">
        <f>TRUNC(170*Q48*(1-L7)*(1-N48))</f>
        <v>0</v>
      </c>
      <c r="E48" s="17"/>
      <c r="F48" s="17"/>
      <c r="G48" s="17"/>
      <c r="H48" s="17"/>
      <c r="I48" s="17"/>
      <c r="J48" s="17"/>
      <c r="K48" s="17"/>
      <c r="L48" s="18"/>
      <c r="M48" s="127" t="s">
        <v>173</v>
      </c>
      <c r="N48" s="124">
        <v>0</v>
      </c>
      <c r="O48" s="150">
        <f t="shared" ref="O48:O53" si="9">30000*Q48*(1-L$7)*(1-N48)</f>
        <v>0</v>
      </c>
      <c r="P48" s="145">
        <f t="shared" si="7"/>
        <v>0</v>
      </c>
      <c r="Q48" s="146">
        <f t="shared" si="5"/>
        <v>0</v>
      </c>
    </row>
    <row r="49" spans="1:17" x14ac:dyDescent="0.25">
      <c r="A49" t="s">
        <v>29</v>
      </c>
      <c r="B49" s="116">
        <v>15</v>
      </c>
      <c r="C49" s="17"/>
      <c r="D49" s="17"/>
      <c r="E49" s="17"/>
      <c r="F49" s="17"/>
      <c r="G49" s="17"/>
      <c r="H49" s="17"/>
      <c r="I49" s="17"/>
      <c r="J49" s="17">
        <f>TRUNC(170*Q49*(1-L7)*(1-N49))</f>
        <v>0</v>
      </c>
      <c r="K49" s="17"/>
      <c r="L49" s="18"/>
      <c r="M49" s="127" t="s">
        <v>173</v>
      </c>
      <c r="N49" s="124">
        <v>0</v>
      </c>
      <c r="O49" s="150">
        <f t="shared" si="9"/>
        <v>0</v>
      </c>
      <c r="P49" s="145">
        <f t="shared" si="7"/>
        <v>0</v>
      </c>
      <c r="Q49" s="146">
        <f t="shared" si="5"/>
        <v>0</v>
      </c>
    </row>
    <row r="50" spans="1:17" x14ac:dyDescent="0.25">
      <c r="A50" t="s">
        <v>58</v>
      </c>
      <c r="B50" s="116">
        <v>15</v>
      </c>
      <c r="C50" s="17">
        <f>TRUNC(170*Q50*(1-L7)*(1-N50))</f>
        <v>0</v>
      </c>
      <c r="D50" s="17"/>
      <c r="E50" s="17"/>
      <c r="F50" s="17"/>
      <c r="G50" s="17"/>
      <c r="H50" s="17"/>
      <c r="I50" s="17"/>
      <c r="J50" s="17"/>
      <c r="K50" s="17"/>
      <c r="L50" s="18"/>
      <c r="M50" s="127" t="s">
        <v>173</v>
      </c>
      <c r="N50" s="124">
        <v>0</v>
      </c>
      <c r="O50" s="150">
        <f t="shared" si="9"/>
        <v>0</v>
      </c>
      <c r="P50" s="145">
        <f t="shared" si="7"/>
        <v>0</v>
      </c>
      <c r="Q50" s="146">
        <f t="shared" si="5"/>
        <v>0</v>
      </c>
    </row>
    <row r="51" spans="1:17" x14ac:dyDescent="0.25">
      <c r="A51" t="s">
        <v>30</v>
      </c>
      <c r="B51" s="116">
        <v>15</v>
      </c>
      <c r="C51" s="17">
        <f>TRUNC(100*Q51*(1-L7)*(1-N51))</f>
        <v>0</v>
      </c>
      <c r="D51" s="17"/>
      <c r="E51" s="17"/>
      <c r="F51" s="17"/>
      <c r="G51" s="17"/>
      <c r="H51" s="17"/>
      <c r="I51" s="17"/>
      <c r="J51" s="17">
        <f>TRUNC(70*Q51*(1-L7)*(1-N51))</f>
        <v>0</v>
      </c>
      <c r="K51" s="17"/>
      <c r="L51" s="18"/>
      <c r="M51" s="127" t="s">
        <v>173</v>
      </c>
      <c r="N51" s="124">
        <v>0</v>
      </c>
      <c r="O51" s="150">
        <f t="shared" si="9"/>
        <v>0</v>
      </c>
      <c r="P51" s="145">
        <f t="shared" si="7"/>
        <v>0</v>
      </c>
      <c r="Q51" s="146">
        <f t="shared" si="5"/>
        <v>0</v>
      </c>
    </row>
    <row r="52" spans="1:17" x14ac:dyDescent="0.25">
      <c r="A52" t="s">
        <v>31</v>
      </c>
      <c r="B52" s="116">
        <v>15</v>
      </c>
      <c r="C52" s="17">
        <f>TRUNC(90*Q52*(1-L7)*(1-N52))</f>
        <v>0</v>
      </c>
      <c r="D52" s="17"/>
      <c r="E52" s="17">
        <f>TRUNC(40*Q52*(1-L7)*(1-N52))</f>
        <v>0</v>
      </c>
      <c r="F52" s="17">
        <f>TRUNC(40*Q52*(1-L7)*(1-N52))</f>
        <v>0</v>
      </c>
      <c r="G52" s="17"/>
      <c r="H52" s="17"/>
      <c r="I52" s="17"/>
      <c r="J52" s="17"/>
      <c r="K52" s="17"/>
      <c r="L52" s="18"/>
      <c r="M52" s="127" t="s">
        <v>173</v>
      </c>
      <c r="N52" s="124">
        <v>0</v>
      </c>
      <c r="O52" s="150">
        <f t="shared" si="9"/>
        <v>0</v>
      </c>
      <c r="P52" s="145">
        <f t="shared" si="7"/>
        <v>0</v>
      </c>
      <c r="Q52" s="146">
        <f t="shared" si="5"/>
        <v>0</v>
      </c>
    </row>
    <row r="53" spans="1:17" ht="15.75" thickBot="1" x14ac:dyDescent="0.3">
      <c r="A53" t="s">
        <v>32</v>
      </c>
      <c r="B53" s="118">
        <v>15</v>
      </c>
      <c r="C53" s="20">
        <f>TRUNC(110*Q53*(1-L7)*(1-N53))</f>
        <v>0</v>
      </c>
      <c r="D53" s="21"/>
      <c r="E53" s="21"/>
      <c r="F53" s="21"/>
      <c r="G53" s="21"/>
      <c r="H53" s="21">
        <f>TRUNC(60*Q53*(1-L7)*(1-N53))</f>
        <v>0</v>
      </c>
      <c r="I53" s="21"/>
      <c r="J53" s="21"/>
      <c r="K53" s="21"/>
      <c r="L53" s="22"/>
      <c r="M53" s="127" t="s">
        <v>173</v>
      </c>
      <c r="N53" s="124">
        <v>0</v>
      </c>
      <c r="O53" s="150">
        <f t="shared" si="9"/>
        <v>0</v>
      </c>
      <c r="P53" s="145">
        <f t="shared" si="7"/>
        <v>0</v>
      </c>
      <c r="Q53" s="146">
        <f t="shared" si="5"/>
        <v>0</v>
      </c>
    </row>
    <row r="54" spans="1:17" ht="15.75" thickBot="1" x14ac:dyDescent="0.3">
      <c r="A54" s="3" t="s">
        <v>33</v>
      </c>
      <c r="B54" s="117" t="s">
        <v>166</v>
      </c>
      <c r="C54" s="91" t="s">
        <v>8</v>
      </c>
      <c r="D54" s="92" t="s">
        <v>9</v>
      </c>
      <c r="E54" s="92" t="s">
        <v>10</v>
      </c>
      <c r="F54" s="92" t="s">
        <v>137</v>
      </c>
      <c r="G54" s="92" t="s">
        <v>11</v>
      </c>
      <c r="H54" s="92" t="s">
        <v>138</v>
      </c>
      <c r="I54" s="92" t="s">
        <v>139</v>
      </c>
      <c r="J54" s="92" t="s">
        <v>12</v>
      </c>
      <c r="K54" s="92" t="s">
        <v>13</v>
      </c>
      <c r="L54" s="93" t="s">
        <v>105</v>
      </c>
      <c r="M54" s="93"/>
      <c r="N54" s="93"/>
      <c r="O54" s="151"/>
      <c r="P54" s="147"/>
      <c r="Q54" s="148"/>
    </row>
    <row r="55" spans="1:17" x14ac:dyDescent="0.25">
      <c r="A55" t="s">
        <v>34</v>
      </c>
      <c r="B55" s="115">
        <v>15</v>
      </c>
      <c r="C55" s="15"/>
      <c r="D55" s="15">
        <f>TRUNC(150*Q55*(1-L7)*(1-N55))</f>
        <v>0</v>
      </c>
      <c r="E55" s="15"/>
      <c r="F55" s="15"/>
      <c r="G55" s="15"/>
      <c r="H55" s="15"/>
      <c r="I55" s="15"/>
      <c r="J55" s="15">
        <f>TRUNC(60*Q55*(1-L7)*(1-N55))</f>
        <v>0</v>
      </c>
      <c r="K55" s="15"/>
      <c r="L55" s="16"/>
      <c r="M55" s="127" t="s">
        <v>173</v>
      </c>
      <c r="N55" s="124">
        <v>0</v>
      </c>
      <c r="O55" s="149">
        <f>IF(E$6="Elsweyr",60000*Q55*(1-L$7)*(1-N55),30000*Q55*(1-L$7)*(1-N55))</f>
        <v>0</v>
      </c>
      <c r="P55" s="145">
        <f t="shared" si="7"/>
        <v>0</v>
      </c>
      <c r="Q55" s="146">
        <f t="shared" si="5"/>
        <v>0</v>
      </c>
    </row>
    <row r="56" spans="1:17" x14ac:dyDescent="0.25">
      <c r="A56" t="s">
        <v>35</v>
      </c>
      <c r="B56" s="116">
        <v>15</v>
      </c>
      <c r="C56" s="17"/>
      <c r="D56" s="17"/>
      <c r="E56" s="17"/>
      <c r="F56" s="17">
        <f>TRUNC(70*Q56*(1-L7)*(1-N56))</f>
        <v>0</v>
      </c>
      <c r="G56" s="17"/>
      <c r="H56" s="17">
        <f>TRUNC(100*Q56*(1-L7)*(1-N56))</f>
        <v>0</v>
      </c>
      <c r="I56" s="17"/>
      <c r="J56" s="17"/>
      <c r="K56" s="17"/>
      <c r="L56" s="18"/>
      <c r="M56" s="127" t="s">
        <v>173</v>
      </c>
      <c r="N56" s="124">
        <v>0</v>
      </c>
      <c r="O56" s="150">
        <f t="shared" ref="O56:O61" si="10">30000*Q56*(1-L$7)*(1-N56)</f>
        <v>0</v>
      </c>
      <c r="P56" s="145">
        <f t="shared" si="7"/>
        <v>0</v>
      </c>
      <c r="Q56" s="146">
        <f t="shared" si="5"/>
        <v>0</v>
      </c>
    </row>
    <row r="57" spans="1:17" x14ac:dyDescent="0.25">
      <c r="A57" t="s">
        <v>36</v>
      </c>
      <c r="B57" s="116">
        <v>15</v>
      </c>
      <c r="C57" s="17"/>
      <c r="D57" s="17"/>
      <c r="E57" s="17"/>
      <c r="F57" s="17"/>
      <c r="G57" s="17"/>
      <c r="H57" s="17"/>
      <c r="I57" s="17"/>
      <c r="J57" s="17">
        <f>TRUNC(170*Q57*(1-L7)*(1-N57))</f>
        <v>0</v>
      </c>
      <c r="K57" s="17"/>
      <c r="L57" s="18"/>
      <c r="M57" s="127" t="s">
        <v>173</v>
      </c>
      <c r="N57" s="124">
        <v>0</v>
      </c>
      <c r="O57" s="150">
        <f t="shared" si="10"/>
        <v>0</v>
      </c>
      <c r="P57" s="145">
        <f t="shared" si="7"/>
        <v>0</v>
      </c>
      <c r="Q57" s="146">
        <f t="shared" si="5"/>
        <v>0</v>
      </c>
    </row>
    <row r="58" spans="1:17" x14ac:dyDescent="0.25">
      <c r="A58" t="s">
        <v>37</v>
      </c>
      <c r="B58" s="116">
        <v>15</v>
      </c>
      <c r="C58" s="17"/>
      <c r="D58" s="17"/>
      <c r="E58" s="17"/>
      <c r="F58" s="17"/>
      <c r="G58" s="17"/>
      <c r="H58" s="17">
        <f>TRUNC(170*Q58*(1-L7)*(1-N58))</f>
        <v>0</v>
      </c>
      <c r="I58" s="17"/>
      <c r="J58" s="17"/>
      <c r="K58" s="17"/>
      <c r="L58" s="18"/>
      <c r="M58" s="127" t="s">
        <v>173</v>
      </c>
      <c r="N58" s="124">
        <v>0</v>
      </c>
      <c r="O58" s="150">
        <f t="shared" si="10"/>
        <v>0</v>
      </c>
      <c r="P58" s="145">
        <f t="shared" si="7"/>
        <v>0</v>
      </c>
      <c r="Q58" s="146">
        <f t="shared" si="5"/>
        <v>0</v>
      </c>
    </row>
    <row r="59" spans="1:17" x14ac:dyDescent="0.25">
      <c r="A59" t="s">
        <v>38</v>
      </c>
      <c r="B59" s="116">
        <v>15</v>
      </c>
      <c r="C59" s="17"/>
      <c r="D59" s="17"/>
      <c r="E59" s="17"/>
      <c r="F59" s="17">
        <f>TRUNC(130*Q59*(1-L7)*(1-N59))</f>
        <v>0</v>
      </c>
      <c r="G59" s="17"/>
      <c r="H59" s="17"/>
      <c r="I59" s="17"/>
      <c r="J59" s="17">
        <f>TRUNC(40*Q59*(1-L7)*(1-N59))</f>
        <v>0</v>
      </c>
      <c r="K59" s="17"/>
      <c r="L59" s="18"/>
      <c r="M59" s="127" t="s">
        <v>173</v>
      </c>
      <c r="N59" s="124">
        <v>0</v>
      </c>
      <c r="O59" s="150">
        <f t="shared" si="10"/>
        <v>0</v>
      </c>
      <c r="P59" s="145">
        <f t="shared" si="7"/>
        <v>0</v>
      </c>
      <c r="Q59" s="146">
        <f t="shared" si="5"/>
        <v>0</v>
      </c>
    </row>
    <row r="60" spans="1:17" x14ac:dyDescent="0.25">
      <c r="A60" t="s">
        <v>39</v>
      </c>
      <c r="B60" s="116">
        <v>15</v>
      </c>
      <c r="C60" s="17"/>
      <c r="D60" s="17"/>
      <c r="E60" s="17"/>
      <c r="F60" s="17"/>
      <c r="G60" s="17"/>
      <c r="H60" s="17"/>
      <c r="I60" s="17"/>
      <c r="J60" s="17">
        <f>TRUNC(60*Q60*(1-L7)*(1-N60))</f>
        <v>0</v>
      </c>
      <c r="K60" s="17"/>
      <c r="L60" s="18">
        <f>TRUNC(110*Q60*(1-L7)*(1-N60))</f>
        <v>0</v>
      </c>
      <c r="M60" s="127" t="s">
        <v>173</v>
      </c>
      <c r="N60" s="124">
        <v>0</v>
      </c>
      <c r="O60" s="150">
        <f t="shared" si="10"/>
        <v>0</v>
      </c>
      <c r="P60" s="145">
        <f t="shared" si="7"/>
        <v>0</v>
      </c>
      <c r="Q60" s="146">
        <f t="shared" si="5"/>
        <v>0</v>
      </c>
    </row>
    <row r="61" spans="1:17" ht="15.75" thickBot="1" x14ac:dyDescent="0.3">
      <c r="A61" t="s">
        <v>40</v>
      </c>
      <c r="B61" s="116">
        <v>15</v>
      </c>
      <c r="C61" s="17">
        <f>TRUNC(30*Q61*(1-L7)*(1-N61))</f>
        <v>0</v>
      </c>
      <c r="D61" s="17"/>
      <c r="E61" s="17">
        <f>TRUNC(60*Q61*(1-L7)*(1-N61))</f>
        <v>0</v>
      </c>
      <c r="F61" s="17"/>
      <c r="G61" s="17"/>
      <c r="H61" s="17"/>
      <c r="I61" s="17"/>
      <c r="J61" s="17">
        <f>TRUNC(80*Q61*(1-L7)*(1-N61))</f>
        <v>0</v>
      </c>
      <c r="K61" s="17"/>
      <c r="L61" s="18"/>
      <c r="M61" s="127" t="s">
        <v>173</v>
      </c>
      <c r="N61" s="124">
        <v>0</v>
      </c>
      <c r="O61" s="150">
        <f t="shared" si="10"/>
        <v>0</v>
      </c>
      <c r="P61" s="145">
        <f t="shared" si="7"/>
        <v>0</v>
      </c>
      <c r="Q61" s="146">
        <f t="shared" si="5"/>
        <v>0</v>
      </c>
    </row>
    <row r="62" spans="1:17" ht="15.75" thickBot="1" x14ac:dyDescent="0.3">
      <c r="A62" s="3" t="s">
        <v>41</v>
      </c>
      <c r="B62" s="117" t="s">
        <v>166</v>
      </c>
      <c r="C62" s="91" t="s">
        <v>8</v>
      </c>
      <c r="D62" s="92" t="s">
        <v>9</v>
      </c>
      <c r="E62" s="92" t="s">
        <v>10</v>
      </c>
      <c r="F62" s="92" t="s">
        <v>137</v>
      </c>
      <c r="G62" s="92" t="s">
        <v>11</v>
      </c>
      <c r="H62" s="92" t="s">
        <v>138</v>
      </c>
      <c r="I62" s="92" t="s">
        <v>139</v>
      </c>
      <c r="J62" s="92" t="s">
        <v>12</v>
      </c>
      <c r="K62" s="92" t="s">
        <v>13</v>
      </c>
      <c r="L62" s="93" t="s">
        <v>105</v>
      </c>
      <c r="M62" s="93"/>
      <c r="N62" s="93"/>
      <c r="O62" s="151"/>
      <c r="P62" s="147"/>
      <c r="Q62" s="148"/>
    </row>
    <row r="63" spans="1:17" x14ac:dyDescent="0.25">
      <c r="A63" t="s">
        <v>42</v>
      </c>
      <c r="B63" s="115">
        <v>15</v>
      </c>
      <c r="C63" s="15"/>
      <c r="D63" s="15">
        <f>TRUNC(60*Q63*(1-L7)*(1-N63))</f>
        <v>60</v>
      </c>
      <c r="E63" s="15"/>
      <c r="F63" s="15"/>
      <c r="G63" s="15"/>
      <c r="H63" s="15"/>
      <c r="I63" s="15"/>
      <c r="J63" s="15"/>
      <c r="K63" s="15"/>
      <c r="L63" s="16">
        <f>TRUNC(150*Q63*(1-L7)*(1-N63))</f>
        <v>150</v>
      </c>
      <c r="M63" s="127" t="s">
        <v>174</v>
      </c>
      <c r="N63" s="124">
        <v>0</v>
      </c>
      <c r="O63" s="149">
        <f>IF(E$6="Hauteroche",60000*Q63*(1-L$7)*(1-N63),30000*Q63*(1-L$7)*(1-N63))</f>
        <v>60000</v>
      </c>
      <c r="P63" s="145">
        <f t="shared" si="7"/>
        <v>15</v>
      </c>
      <c r="Q63" s="146">
        <f t="shared" si="5"/>
        <v>1</v>
      </c>
    </row>
    <row r="64" spans="1:17" x14ac:dyDescent="0.25">
      <c r="A64" t="s">
        <v>43</v>
      </c>
      <c r="B64" s="116">
        <v>15</v>
      </c>
      <c r="C64" s="17"/>
      <c r="D64" s="17">
        <f>TRUNC(70*Q64*(1-L7)*(1-N64))</f>
        <v>70</v>
      </c>
      <c r="E64" s="17"/>
      <c r="F64" s="17"/>
      <c r="G64" s="17"/>
      <c r="H64" s="17"/>
      <c r="I64" s="17"/>
      <c r="J64" s="17"/>
      <c r="K64" s="17"/>
      <c r="L64" s="18">
        <f>TRUNC(100*Q64*(1-L7)*(1-N64))</f>
        <v>100</v>
      </c>
      <c r="M64" s="127" t="s">
        <v>174</v>
      </c>
      <c r="N64" s="124">
        <v>0</v>
      </c>
      <c r="O64" s="150">
        <f t="shared" ref="O64:O70" si="11">30000*Q64*(1-L$7)*(1-N64)</f>
        <v>30000</v>
      </c>
      <c r="P64" s="145">
        <f t="shared" si="7"/>
        <v>15</v>
      </c>
      <c r="Q64" s="146">
        <f t="shared" si="5"/>
        <v>1</v>
      </c>
    </row>
    <row r="65" spans="1:17" x14ac:dyDescent="0.25">
      <c r="A65" t="s">
        <v>44</v>
      </c>
      <c r="B65" s="116">
        <v>15</v>
      </c>
      <c r="C65" s="17"/>
      <c r="D65" s="17">
        <f>TRUNC(80*Q65*(1-L7)*(1-N65))</f>
        <v>80</v>
      </c>
      <c r="E65" s="17">
        <f>TRUNC(20*Q65*(1-L7)*(1-N65))</f>
        <v>20</v>
      </c>
      <c r="F65" s="17"/>
      <c r="G65" s="17"/>
      <c r="H65" s="17"/>
      <c r="I65" s="17"/>
      <c r="J65" s="17"/>
      <c r="K65" s="17">
        <f>TRUNC(70*Q65*(1-L7)*(1-N65))</f>
        <v>70</v>
      </c>
      <c r="L65" s="18"/>
      <c r="M65" s="127" t="s">
        <v>174</v>
      </c>
      <c r="N65" s="124">
        <v>0</v>
      </c>
      <c r="O65" s="150">
        <f t="shared" si="11"/>
        <v>30000</v>
      </c>
      <c r="P65" s="145">
        <f t="shared" si="7"/>
        <v>15</v>
      </c>
      <c r="Q65" s="146">
        <f t="shared" si="5"/>
        <v>1</v>
      </c>
    </row>
    <row r="66" spans="1:17" x14ac:dyDescent="0.25">
      <c r="A66" t="s">
        <v>45</v>
      </c>
      <c r="B66" s="116">
        <v>15</v>
      </c>
      <c r="C66" s="17">
        <f>TRUNC(100*Q66*(1-L7)*(1-N66))</f>
        <v>100</v>
      </c>
      <c r="D66" s="17">
        <f>TRUNC(70*Q66*(1-L7)*(1-N66))</f>
        <v>70</v>
      </c>
      <c r="E66" s="17"/>
      <c r="F66" s="17"/>
      <c r="G66" s="17"/>
      <c r="H66" s="17"/>
      <c r="I66" s="17"/>
      <c r="J66" s="17"/>
      <c r="K66" s="17"/>
      <c r="L66" s="18"/>
      <c r="M66" s="127" t="s">
        <v>174</v>
      </c>
      <c r="N66" s="124">
        <v>0</v>
      </c>
      <c r="O66" s="150">
        <f t="shared" si="11"/>
        <v>30000</v>
      </c>
      <c r="P66" s="145">
        <f t="shared" si="7"/>
        <v>15</v>
      </c>
      <c r="Q66" s="146">
        <f t="shared" si="5"/>
        <v>1</v>
      </c>
    </row>
    <row r="67" spans="1:17" x14ac:dyDescent="0.25">
      <c r="A67" t="s">
        <v>46</v>
      </c>
      <c r="B67" s="116">
        <v>15</v>
      </c>
      <c r="C67" s="17">
        <f>TRUNC(120*Q67*(1-L7)*(1-N67))</f>
        <v>120</v>
      </c>
      <c r="D67" s="17">
        <f>TRUNC(50*Q67*(1-L7)*(1-N67))</f>
        <v>50</v>
      </c>
      <c r="E67" s="17"/>
      <c r="F67" s="17"/>
      <c r="G67" s="17"/>
      <c r="H67" s="17"/>
      <c r="I67" s="17"/>
      <c r="J67" s="17"/>
      <c r="K67" s="17"/>
      <c r="L67" s="18"/>
      <c r="M67" s="127" t="s">
        <v>174</v>
      </c>
      <c r="N67" s="124">
        <v>0</v>
      </c>
      <c r="O67" s="150">
        <f t="shared" si="11"/>
        <v>30000</v>
      </c>
      <c r="P67" s="145">
        <f t="shared" si="7"/>
        <v>15</v>
      </c>
      <c r="Q67" s="146">
        <f t="shared" si="5"/>
        <v>1</v>
      </c>
    </row>
    <row r="68" spans="1:17" x14ac:dyDescent="0.25">
      <c r="A68" t="s">
        <v>47</v>
      </c>
      <c r="B68" s="116">
        <v>15</v>
      </c>
      <c r="C68" s="17"/>
      <c r="D68" s="17"/>
      <c r="E68" s="17"/>
      <c r="F68" s="17"/>
      <c r="G68" s="17">
        <f>TRUNC(100*Q68*(1-L7)*(1-N68))</f>
        <v>100</v>
      </c>
      <c r="H68" s="17"/>
      <c r="I68" s="17"/>
      <c r="J68" s="17"/>
      <c r="K68" s="17"/>
      <c r="L68" s="18">
        <f>TRUNC(70*Q68*(1-L7)*(1-N68))</f>
        <v>70</v>
      </c>
      <c r="M68" s="127" t="s">
        <v>174</v>
      </c>
      <c r="N68" s="124">
        <v>0</v>
      </c>
      <c r="O68" s="150">
        <f t="shared" si="11"/>
        <v>30000</v>
      </c>
      <c r="P68" s="145">
        <f t="shared" si="7"/>
        <v>15</v>
      </c>
      <c r="Q68" s="146">
        <f t="shared" si="5"/>
        <v>1</v>
      </c>
    </row>
    <row r="69" spans="1:17" x14ac:dyDescent="0.25">
      <c r="A69" t="s">
        <v>48</v>
      </c>
      <c r="B69" s="116">
        <v>15</v>
      </c>
      <c r="C69" s="17"/>
      <c r="D69" s="17">
        <f>TRUNC(90*Q69*(1-L7)*(1-N69))</f>
        <v>90</v>
      </c>
      <c r="E69" s="17"/>
      <c r="F69" s="17"/>
      <c r="G69" s="17"/>
      <c r="H69" s="17">
        <f>TRUNC(80*Q69*(1-L7)*(1-N69))</f>
        <v>80</v>
      </c>
      <c r="I69" s="17"/>
      <c r="J69" s="17"/>
      <c r="K69" s="17"/>
      <c r="L69" s="18"/>
      <c r="M69" s="127" t="s">
        <v>174</v>
      </c>
      <c r="N69" s="124">
        <v>0</v>
      </c>
      <c r="O69" s="150">
        <f t="shared" si="11"/>
        <v>30000</v>
      </c>
      <c r="P69" s="145">
        <f t="shared" si="7"/>
        <v>15</v>
      </c>
      <c r="Q69" s="146">
        <f t="shared" si="5"/>
        <v>1</v>
      </c>
    </row>
    <row r="70" spans="1:17" ht="15.75" thickBot="1" x14ac:dyDescent="0.3">
      <c r="A70" t="s">
        <v>104</v>
      </c>
      <c r="B70" s="116">
        <v>15</v>
      </c>
      <c r="C70" s="17"/>
      <c r="D70" s="17"/>
      <c r="E70" s="17"/>
      <c r="F70" s="17"/>
      <c r="G70" s="17">
        <f>TRUNC(70*Q70*(1-L7)*(1-N70))</f>
        <v>70</v>
      </c>
      <c r="H70" s="17">
        <f>TRUNC(100*Q70*(1-L7)*(1-N70))</f>
        <v>100</v>
      </c>
      <c r="I70" s="17"/>
      <c r="J70" s="17"/>
      <c r="K70" s="17"/>
      <c r="L70" s="18"/>
      <c r="M70" s="127" t="s">
        <v>174</v>
      </c>
      <c r="N70" s="124">
        <v>0</v>
      </c>
      <c r="O70" s="150">
        <f t="shared" si="11"/>
        <v>30000</v>
      </c>
      <c r="P70" s="145">
        <f t="shared" si="7"/>
        <v>15</v>
      </c>
      <c r="Q70" s="146">
        <f t="shared" si="5"/>
        <v>1</v>
      </c>
    </row>
    <row r="71" spans="1:17" ht="15.75" thickBot="1" x14ac:dyDescent="0.3">
      <c r="A71" s="3" t="s">
        <v>49</v>
      </c>
      <c r="B71" s="117" t="s">
        <v>166</v>
      </c>
      <c r="C71" s="91" t="s">
        <v>8</v>
      </c>
      <c r="D71" s="92" t="s">
        <v>9</v>
      </c>
      <c r="E71" s="92" t="s">
        <v>10</v>
      </c>
      <c r="F71" s="92" t="s">
        <v>137</v>
      </c>
      <c r="G71" s="92" t="s">
        <v>11</v>
      </c>
      <c r="H71" s="92" t="s">
        <v>138</v>
      </c>
      <c r="I71" s="92" t="s">
        <v>139</v>
      </c>
      <c r="J71" s="92" t="s">
        <v>12</v>
      </c>
      <c r="K71" s="92" t="s">
        <v>13</v>
      </c>
      <c r="L71" s="93" t="s">
        <v>105</v>
      </c>
      <c r="M71" s="93"/>
      <c r="N71" s="93"/>
      <c r="O71" s="151"/>
      <c r="P71" s="147"/>
      <c r="Q71" s="148"/>
    </row>
    <row r="72" spans="1:17" x14ac:dyDescent="0.25">
      <c r="A72" t="s">
        <v>50</v>
      </c>
      <c r="B72" s="115">
        <v>15</v>
      </c>
      <c r="C72" s="15"/>
      <c r="D72" s="15"/>
      <c r="E72" s="15"/>
      <c r="F72" s="15">
        <f>TRUNC(110*Q72*(1-L7)*(1-N72))</f>
        <v>0</v>
      </c>
      <c r="G72" s="15"/>
      <c r="H72" s="15"/>
      <c r="I72" s="15">
        <f>TRUNC(100*Q72*(1-L7)*(1-N72))</f>
        <v>0</v>
      </c>
      <c r="J72" s="15"/>
      <c r="K72" s="15"/>
      <c r="L72" s="16"/>
      <c r="M72" s="127" t="s">
        <v>173</v>
      </c>
      <c r="N72" s="124">
        <v>0</v>
      </c>
      <c r="O72" s="149">
        <f>IF(E$6="Lenclume",60000*Q72*(1-L$7)*(1-N72),30000*Q72*(1-L$7)*(1-N72))</f>
        <v>0</v>
      </c>
      <c r="P72" s="145">
        <f t="shared" si="7"/>
        <v>0</v>
      </c>
      <c r="Q72" s="146">
        <f t="shared" si="5"/>
        <v>0</v>
      </c>
    </row>
    <row r="73" spans="1:17" x14ac:dyDescent="0.25">
      <c r="A73" t="s">
        <v>51</v>
      </c>
      <c r="B73" s="116">
        <v>15</v>
      </c>
      <c r="C73" s="17"/>
      <c r="D73" s="17"/>
      <c r="E73" s="17"/>
      <c r="F73" s="17"/>
      <c r="G73" s="17">
        <f>TRUNC(60*Q73*(1-L7)*(1-N73))</f>
        <v>0</v>
      </c>
      <c r="H73" s="17"/>
      <c r="I73" s="17"/>
      <c r="J73" s="17">
        <f>TRUNC(110*Q73*(1-L7)*(1-N73))</f>
        <v>0</v>
      </c>
      <c r="K73" s="17"/>
      <c r="L73" s="18"/>
      <c r="M73" s="127" t="s">
        <v>173</v>
      </c>
      <c r="N73" s="124">
        <v>0</v>
      </c>
      <c r="O73" s="150">
        <f t="shared" ref="O73:O79" si="12">30000*Q73*(1-L$7)*(1-N73)</f>
        <v>0</v>
      </c>
      <c r="P73" s="145">
        <f t="shared" si="7"/>
        <v>0</v>
      </c>
      <c r="Q73" s="146">
        <f t="shared" si="5"/>
        <v>0</v>
      </c>
    </row>
    <row r="74" spans="1:17" x14ac:dyDescent="0.25">
      <c r="A74" t="s">
        <v>52</v>
      </c>
      <c r="B74" s="116">
        <v>15</v>
      </c>
      <c r="C74" s="17"/>
      <c r="D74" s="17"/>
      <c r="E74" s="17"/>
      <c r="F74" s="17">
        <f>TRUNC(120*Q74*(1-L7)*(1-N74))</f>
        <v>0</v>
      </c>
      <c r="G74" s="17"/>
      <c r="H74" s="17"/>
      <c r="I74" s="17"/>
      <c r="J74" s="17">
        <f>TRUNC(50*Q74*(1-L7)*(1-N74))</f>
        <v>0</v>
      </c>
      <c r="K74" s="17"/>
      <c r="L74" s="18"/>
      <c r="M74" s="127" t="s">
        <v>173</v>
      </c>
      <c r="N74" s="124">
        <v>0</v>
      </c>
      <c r="O74" s="150">
        <f t="shared" si="12"/>
        <v>0</v>
      </c>
      <c r="P74" s="145">
        <f t="shared" si="7"/>
        <v>0</v>
      </c>
      <c r="Q74" s="146">
        <f t="shared" si="5"/>
        <v>0</v>
      </c>
    </row>
    <row r="75" spans="1:17" x14ac:dyDescent="0.25">
      <c r="A75" t="s">
        <v>53</v>
      </c>
      <c r="B75" s="116">
        <v>15</v>
      </c>
      <c r="C75" s="17"/>
      <c r="D75" s="17"/>
      <c r="E75" s="17"/>
      <c r="F75" s="17">
        <f>TRUNC(170*Q75*(1-L7)*(1-N75))</f>
        <v>0</v>
      </c>
      <c r="G75" s="17"/>
      <c r="H75" s="17"/>
      <c r="I75" s="17"/>
      <c r="J75" s="17"/>
      <c r="K75" s="17"/>
      <c r="L75" s="18"/>
      <c r="M75" s="127" t="s">
        <v>173</v>
      </c>
      <c r="N75" s="124">
        <v>0</v>
      </c>
      <c r="O75" s="150">
        <f t="shared" si="12"/>
        <v>0</v>
      </c>
      <c r="P75" s="145">
        <f t="shared" si="7"/>
        <v>0</v>
      </c>
      <c r="Q75" s="146">
        <f t="shared" si="5"/>
        <v>0</v>
      </c>
    </row>
    <row r="76" spans="1:17" x14ac:dyDescent="0.25">
      <c r="A76" t="s">
        <v>54</v>
      </c>
      <c r="B76" s="116">
        <v>15</v>
      </c>
      <c r="C76" s="17"/>
      <c r="D76" s="17"/>
      <c r="E76" s="17"/>
      <c r="F76" s="17"/>
      <c r="G76" s="17"/>
      <c r="H76" s="17"/>
      <c r="I76" s="17"/>
      <c r="J76" s="17">
        <f>TRUNC(170*Q76*(1-L7)*(1-N76))</f>
        <v>0</v>
      </c>
      <c r="K76" s="17"/>
      <c r="L76" s="18"/>
      <c r="M76" s="127" t="s">
        <v>173</v>
      </c>
      <c r="N76" s="124">
        <v>0</v>
      </c>
      <c r="O76" s="150">
        <f t="shared" si="12"/>
        <v>0</v>
      </c>
      <c r="P76" s="145">
        <f t="shared" si="7"/>
        <v>0</v>
      </c>
      <c r="Q76" s="146">
        <f t="shared" si="5"/>
        <v>0</v>
      </c>
    </row>
    <row r="77" spans="1:17" x14ac:dyDescent="0.25">
      <c r="A77" t="s">
        <v>55</v>
      </c>
      <c r="B77" s="116">
        <v>15</v>
      </c>
      <c r="C77" s="17"/>
      <c r="D77" s="17"/>
      <c r="E77" s="17">
        <f>TRUNC(120*Q77*(1-L7)*(1-N77))</f>
        <v>0</v>
      </c>
      <c r="F77" s="17"/>
      <c r="G77" s="17"/>
      <c r="H77" s="17"/>
      <c r="I77" s="17"/>
      <c r="J77" s="17"/>
      <c r="K77" s="17">
        <f>TRUNC(50*Q77*(1-L7)*(1-N77))</f>
        <v>0</v>
      </c>
      <c r="L77" s="18"/>
      <c r="M77" s="127" t="s">
        <v>173</v>
      </c>
      <c r="N77" s="124">
        <v>0</v>
      </c>
      <c r="O77" s="150">
        <f t="shared" si="12"/>
        <v>0</v>
      </c>
      <c r="P77" s="145">
        <f t="shared" si="7"/>
        <v>0</v>
      </c>
      <c r="Q77" s="146">
        <f t="shared" si="5"/>
        <v>0</v>
      </c>
    </row>
    <row r="78" spans="1:17" x14ac:dyDescent="0.25">
      <c r="A78" t="s">
        <v>56</v>
      </c>
      <c r="B78" s="116">
        <v>15</v>
      </c>
      <c r="C78" s="17"/>
      <c r="D78" s="17"/>
      <c r="E78" s="17">
        <f>TRUNC(120*Q78*(1-L7)*(1-N78))</f>
        <v>0</v>
      </c>
      <c r="F78" s="17"/>
      <c r="G78" s="17"/>
      <c r="H78" s="17"/>
      <c r="I78" s="17">
        <f>TRUNC(50*Q78*(1-L7)*(1-N78))</f>
        <v>0</v>
      </c>
      <c r="J78" s="17"/>
      <c r="K78" s="17"/>
      <c r="L78" s="18"/>
      <c r="M78" s="127" t="s">
        <v>173</v>
      </c>
      <c r="N78" s="124">
        <v>0</v>
      </c>
      <c r="O78" s="150">
        <f t="shared" si="12"/>
        <v>0</v>
      </c>
      <c r="P78" s="145">
        <f t="shared" si="7"/>
        <v>0</v>
      </c>
      <c r="Q78" s="146">
        <f t="shared" si="5"/>
        <v>0</v>
      </c>
    </row>
    <row r="79" spans="1:17" ht="15.75" thickBot="1" x14ac:dyDescent="0.3">
      <c r="A79" t="s">
        <v>57</v>
      </c>
      <c r="B79" s="116">
        <v>15</v>
      </c>
      <c r="C79" s="17"/>
      <c r="D79" s="17"/>
      <c r="E79" s="17"/>
      <c r="F79" s="17">
        <f>TRUNC(30*Q79*(1-L7)*(1-N79))</f>
        <v>0</v>
      </c>
      <c r="G79" s="17">
        <f>TRUNC(40*Q79*(1-L7)*(1-N79))</f>
        <v>0</v>
      </c>
      <c r="H79" s="17"/>
      <c r="I79" s="17"/>
      <c r="J79" s="17"/>
      <c r="K79" s="17">
        <f>TRUNC(100*Q79*(1-L7)*(1-N79))</f>
        <v>0</v>
      </c>
      <c r="L79" s="18"/>
      <c r="M79" s="127" t="s">
        <v>173</v>
      </c>
      <c r="N79" s="124">
        <v>0</v>
      </c>
      <c r="O79" s="150">
        <f t="shared" si="12"/>
        <v>0</v>
      </c>
      <c r="P79" s="145">
        <f t="shared" si="7"/>
        <v>0</v>
      </c>
      <c r="Q79" s="146">
        <f t="shared" si="5"/>
        <v>0</v>
      </c>
    </row>
    <row r="80" spans="1:17" ht="15.75" thickBot="1" x14ac:dyDescent="0.3">
      <c r="A80" s="3" t="s">
        <v>59</v>
      </c>
      <c r="B80" s="117" t="s">
        <v>166</v>
      </c>
      <c r="C80" s="91" t="s">
        <v>8</v>
      </c>
      <c r="D80" s="92" t="s">
        <v>9</v>
      </c>
      <c r="E80" s="92" t="s">
        <v>10</v>
      </c>
      <c r="F80" s="92" t="s">
        <v>137</v>
      </c>
      <c r="G80" s="92" t="s">
        <v>11</v>
      </c>
      <c r="H80" s="92" t="s">
        <v>138</v>
      </c>
      <c r="I80" s="92" t="s">
        <v>139</v>
      </c>
      <c r="J80" s="92" t="s">
        <v>12</v>
      </c>
      <c r="K80" s="92" t="s">
        <v>13</v>
      </c>
      <c r="L80" s="93" t="s">
        <v>105</v>
      </c>
      <c r="M80" s="93"/>
      <c r="N80" s="93"/>
      <c r="O80" s="151"/>
      <c r="P80" s="147"/>
      <c r="Q80" s="148"/>
    </row>
    <row r="81" spans="1:17" x14ac:dyDescent="0.25">
      <c r="A81" t="s">
        <v>60</v>
      </c>
      <c r="B81" s="115">
        <v>15</v>
      </c>
      <c r="C81" s="15"/>
      <c r="D81" s="15"/>
      <c r="E81" s="15"/>
      <c r="F81" s="15">
        <f>TRUNC(40*Q81*(1-L7)*(1-N81))</f>
        <v>0</v>
      </c>
      <c r="G81" s="15"/>
      <c r="H81" s="15">
        <f>TRUNC(120*Q81*(1-L7)*(1-N81))</f>
        <v>0</v>
      </c>
      <c r="I81" s="15">
        <f>TRUNC(TRUNC(20*Q81*(1-L7)*(1-N81)))</f>
        <v>0</v>
      </c>
      <c r="J81" s="15"/>
      <c r="K81" s="15"/>
      <c r="L81" s="16">
        <f>TRUNC(20*Q81*(1-L7)*(1-N81))</f>
        <v>0</v>
      </c>
      <c r="M81" s="127" t="s">
        <v>173</v>
      </c>
      <c r="N81" s="124">
        <v>0</v>
      </c>
      <c r="O81" s="149">
        <f>IF(E$6="Marais Noir",60000*Q81*(1-L$7)*(1-N81),30000*Q81*(1-L$7)*(1-N81))</f>
        <v>0</v>
      </c>
      <c r="P81" s="145">
        <f t="shared" si="7"/>
        <v>0</v>
      </c>
      <c r="Q81" s="146">
        <f t="shared" si="5"/>
        <v>0</v>
      </c>
    </row>
    <row r="82" spans="1:17" x14ac:dyDescent="0.25">
      <c r="A82" t="s">
        <v>61</v>
      </c>
      <c r="B82" s="116">
        <v>15</v>
      </c>
      <c r="C82" s="17">
        <f>TRUNC(30*Q82*(1-L7)*(1-N82))</f>
        <v>0</v>
      </c>
      <c r="D82" s="17"/>
      <c r="E82" s="17"/>
      <c r="F82" s="17"/>
      <c r="G82" s="17"/>
      <c r="H82" s="17"/>
      <c r="I82" s="17"/>
      <c r="J82" s="17">
        <f>TRUNC(140*Q82*(1-L7)*(1-N82))</f>
        <v>0</v>
      </c>
      <c r="K82" s="17"/>
      <c r="L82" s="18"/>
      <c r="M82" s="127" t="s">
        <v>173</v>
      </c>
      <c r="N82" s="124">
        <v>0</v>
      </c>
      <c r="O82" s="150">
        <f t="shared" ref="O82:O88" si="13">30000*Q82*(1-L$7)*(1-N82)</f>
        <v>0</v>
      </c>
      <c r="P82" s="145">
        <f t="shared" si="7"/>
        <v>0</v>
      </c>
      <c r="Q82" s="146">
        <f t="shared" si="5"/>
        <v>0</v>
      </c>
    </row>
    <row r="83" spans="1:17" x14ac:dyDescent="0.25">
      <c r="A83" t="s">
        <v>62</v>
      </c>
      <c r="B83" s="116">
        <v>15</v>
      </c>
      <c r="C83" s="17"/>
      <c r="D83" s="17"/>
      <c r="E83" s="17"/>
      <c r="F83" s="17">
        <f>TRUNC(170*Q83*(1-L7)*(1-N83))</f>
        <v>0</v>
      </c>
      <c r="G83" s="17"/>
      <c r="H83" s="17"/>
      <c r="I83" s="17"/>
      <c r="J83" s="17"/>
      <c r="K83" s="17"/>
      <c r="L83" s="18"/>
      <c r="M83" s="127" t="s">
        <v>173</v>
      </c>
      <c r="N83" s="124">
        <v>0</v>
      </c>
      <c r="O83" s="150">
        <f t="shared" si="13"/>
        <v>0</v>
      </c>
      <c r="P83" s="145">
        <f t="shared" si="7"/>
        <v>0</v>
      </c>
      <c r="Q83" s="146">
        <f t="shared" si="5"/>
        <v>0</v>
      </c>
    </row>
    <row r="84" spans="1:17" x14ac:dyDescent="0.25">
      <c r="A84" t="s">
        <v>63</v>
      </c>
      <c r="B84" s="116">
        <v>15</v>
      </c>
      <c r="C84" s="17"/>
      <c r="D84" s="17">
        <f>TRUNC(50*Q84*(1-L7)*(1-N84))</f>
        <v>0</v>
      </c>
      <c r="E84" s="17"/>
      <c r="F84" s="17">
        <f>TRUNC(100*Q84*(1-L7)*(1-N84))</f>
        <v>0</v>
      </c>
      <c r="G84" s="17"/>
      <c r="H84" s="17">
        <f>TRUNC(20*Q84*(1-L7)*(1-N84))</f>
        <v>0</v>
      </c>
      <c r="I84" s="17"/>
      <c r="J84" s="17"/>
      <c r="K84" s="17"/>
      <c r="L84" s="18"/>
      <c r="M84" s="127" t="s">
        <v>173</v>
      </c>
      <c r="N84" s="124">
        <v>0</v>
      </c>
      <c r="O84" s="150">
        <f t="shared" si="13"/>
        <v>0</v>
      </c>
      <c r="P84" s="145">
        <f t="shared" si="7"/>
        <v>0</v>
      </c>
      <c r="Q84" s="146">
        <f t="shared" si="5"/>
        <v>0</v>
      </c>
    </row>
    <row r="85" spans="1:17" x14ac:dyDescent="0.25">
      <c r="A85" t="s">
        <v>64</v>
      </c>
      <c r="B85" s="116">
        <v>15</v>
      </c>
      <c r="C85" s="17"/>
      <c r="D85" s="17"/>
      <c r="E85" s="17"/>
      <c r="F85" s="17">
        <f>TRUNC(40*Q85*(1-L7)*(1-N85))</f>
        <v>0</v>
      </c>
      <c r="G85" s="17"/>
      <c r="H85" s="17"/>
      <c r="I85" s="17"/>
      <c r="J85" s="17"/>
      <c r="K85" s="17"/>
      <c r="L85" s="18">
        <f>TRUNC(130*Q85*(1-L7)*(1-N85))</f>
        <v>0</v>
      </c>
      <c r="M85" s="127" t="s">
        <v>173</v>
      </c>
      <c r="N85" s="124">
        <v>0</v>
      </c>
      <c r="O85" s="150">
        <f t="shared" si="13"/>
        <v>0</v>
      </c>
      <c r="P85" s="145">
        <f t="shared" si="7"/>
        <v>0</v>
      </c>
      <c r="Q85" s="146">
        <f t="shared" si="5"/>
        <v>0</v>
      </c>
    </row>
    <row r="86" spans="1:17" x14ac:dyDescent="0.25">
      <c r="A86" t="s">
        <v>65</v>
      </c>
      <c r="B86" s="116">
        <v>15</v>
      </c>
      <c r="C86" s="17"/>
      <c r="D86" s="17"/>
      <c r="E86" s="17"/>
      <c r="F86" s="17"/>
      <c r="G86" s="17"/>
      <c r="H86" s="17">
        <f>TRUNC(170*Q86*(1-L7)*(1-N86))</f>
        <v>0</v>
      </c>
      <c r="I86" s="17"/>
      <c r="J86" s="17"/>
      <c r="K86" s="17"/>
      <c r="L86" s="18"/>
      <c r="M86" s="127" t="s">
        <v>173</v>
      </c>
      <c r="N86" s="124">
        <v>0</v>
      </c>
      <c r="O86" s="150">
        <f t="shared" si="13"/>
        <v>0</v>
      </c>
      <c r="P86" s="145">
        <f t="shared" si="7"/>
        <v>0</v>
      </c>
      <c r="Q86" s="146">
        <f t="shared" si="5"/>
        <v>0</v>
      </c>
    </row>
    <row r="87" spans="1:17" x14ac:dyDescent="0.25">
      <c r="A87" t="s">
        <v>66</v>
      </c>
      <c r="B87" s="116">
        <v>15</v>
      </c>
      <c r="C87" s="17"/>
      <c r="D87" s="17"/>
      <c r="E87" s="17"/>
      <c r="F87" s="17"/>
      <c r="G87" s="17"/>
      <c r="H87" s="17">
        <f>TRUNC(40*Q87*(1-L7)*(1-N87))</f>
        <v>0</v>
      </c>
      <c r="I87" s="17">
        <f>TRUNC(130*Q87*(1-L7)*(1-N87))</f>
        <v>0</v>
      </c>
      <c r="J87" s="17"/>
      <c r="K87" s="17"/>
      <c r="L87" s="18"/>
      <c r="M87" s="127" t="s">
        <v>173</v>
      </c>
      <c r="N87" s="124">
        <v>0</v>
      </c>
      <c r="O87" s="150">
        <f t="shared" si="13"/>
        <v>0</v>
      </c>
      <c r="P87" s="145">
        <f t="shared" si="7"/>
        <v>0</v>
      </c>
      <c r="Q87" s="146">
        <f t="shared" si="5"/>
        <v>0</v>
      </c>
    </row>
    <row r="88" spans="1:17" ht="15.75" thickBot="1" x14ac:dyDescent="0.3">
      <c r="A88" t="s">
        <v>67</v>
      </c>
      <c r="B88" s="116">
        <v>15</v>
      </c>
      <c r="C88" s="17"/>
      <c r="D88" s="17"/>
      <c r="E88" s="17"/>
      <c r="F88" s="17"/>
      <c r="G88" s="17"/>
      <c r="H88" s="17">
        <f>TRUNC(100*Q88*(1-L7)*(1-N88))</f>
        <v>0</v>
      </c>
      <c r="I88" s="17">
        <f>TRUNC(70*Q88*(1-L7)*(1-N88))</f>
        <v>0</v>
      </c>
      <c r="J88" s="17"/>
      <c r="K88" s="17"/>
      <c r="L88" s="18"/>
      <c r="M88" s="127" t="s">
        <v>173</v>
      </c>
      <c r="N88" s="124">
        <v>0</v>
      </c>
      <c r="O88" s="150">
        <f t="shared" si="13"/>
        <v>0</v>
      </c>
      <c r="P88" s="145">
        <f t="shared" si="7"/>
        <v>0</v>
      </c>
      <c r="Q88" s="146">
        <f t="shared" si="5"/>
        <v>0</v>
      </c>
    </row>
    <row r="89" spans="1:17" ht="15.75" thickBot="1" x14ac:dyDescent="0.3">
      <c r="A89" s="3" t="s">
        <v>68</v>
      </c>
      <c r="B89" s="117" t="s">
        <v>166</v>
      </c>
      <c r="C89" s="91" t="s">
        <v>8</v>
      </c>
      <c r="D89" s="92" t="s">
        <v>9</v>
      </c>
      <c r="E89" s="92" t="s">
        <v>10</v>
      </c>
      <c r="F89" s="92" t="s">
        <v>137</v>
      </c>
      <c r="G89" s="92" t="s">
        <v>11</v>
      </c>
      <c r="H89" s="92" t="s">
        <v>138</v>
      </c>
      <c r="I89" s="92" t="s">
        <v>139</v>
      </c>
      <c r="J89" s="92" t="s">
        <v>12</v>
      </c>
      <c r="K89" s="92" t="s">
        <v>13</v>
      </c>
      <c r="L89" s="93" t="s">
        <v>105</v>
      </c>
      <c r="M89" s="93"/>
      <c r="N89" s="93"/>
      <c r="O89" s="151"/>
      <c r="P89" s="147"/>
      <c r="Q89" s="148"/>
    </row>
    <row r="90" spans="1:17" x14ac:dyDescent="0.25">
      <c r="A90" t="s">
        <v>69</v>
      </c>
      <c r="B90" s="115">
        <v>15</v>
      </c>
      <c r="C90" s="15"/>
      <c r="D90" s="15"/>
      <c r="E90" s="15">
        <f>TRUNC(20*Q90*(1-L7)*(1-N90))</f>
        <v>0</v>
      </c>
      <c r="F90" s="15"/>
      <c r="G90" s="15">
        <f>TRUNC(20*Q90*(1-L7)*(1-N90))</f>
        <v>0</v>
      </c>
      <c r="H90" s="15">
        <f>TRUNC(90*Q90*(1-L7)*(1-N90))</f>
        <v>0</v>
      </c>
      <c r="I90" s="15"/>
      <c r="J90" s="15">
        <f>TRUNC(20*Q90*(1-L7)*(1-N90))</f>
        <v>0</v>
      </c>
      <c r="K90" s="15"/>
      <c r="L90" s="16">
        <f>TRUNC(60*Q90*(1-L7)*(1-N90))</f>
        <v>0</v>
      </c>
      <c r="M90" s="127" t="s">
        <v>173</v>
      </c>
      <c r="N90" s="124">
        <v>0</v>
      </c>
      <c r="O90" s="149">
        <f>IF(E$6="Morrowind",60000*Q90*(1-L$7)*(1-N90),30000*Q90*(1-L$7)*(1-N90))</f>
        <v>0</v>
      </c>
      <c r="P90" s="145">
        <f t="shared" si="7"/>
        <v>0</v>
      </c>
      <c r="Q90" s="146">
        <f t="shared" si="5"/>
        <v>0</v>
      </c>
    </row>
    <row r="91" spans="1:17" x14ac:dyDescent="0.25">
      <c r="A91" t="s">
        <v>70</v>
      </c>
      <c r="B91" s="116">
        <v>15</v>
      </c>
      <c r="C91" s="17"/>
      <c r="D91" s="17"/>
      <c r="E91" s="17"/>
      <c r="F91" s="17"/>
      <c r="G91" s="17">
        <f>TRUNC(170*Q91*(1-L7)*(1-N91))</f>
        <v>0</v>
      </c>
      <c r="H91" s="17"/>
      <c r="I91" s="17"/>
      <c r="J91" s="17"/>
      <c r="K91" s="17"/>
      <c r="L91" s="18"/>
      <c r="M91" s="127" t="s">
        <v>173</v>
      </c>
      <c r="N91" s="124">
        <v>0</v>
      </c>
      <c r="O91" s="150">
        <f t="shared" ref="O91:O97" si="14">30000*Q91*(1-L$7)*(1-N91)</f>
        <v>0</v>
      </c>
      <c r="P91" s="145">
        <f t="shared" si="7"/>
        <v>0</v>
      </c>
      <c r="Q91" s="146">
        <f t="shared" si="5"/>
        <v>0</v>
      </c>
    </row>
    <row r="92" spans="1:17" x14ac:dyDescent="0.25">
      <c r="A92" t="s">
        <v>71</v>
      </c>
      <c r="B92" s="116">
        <v>15</v>
      </c>
      <c r="C92" s="17">
        <f>TRUNC(70*Q92*(1-L7)*(1-N92))</f>
        <v>0</v>
      </c>
      <c r="D92" s="17"/>
      <c r="E92" s="17"/>
      <c r="F92" s="17"/>
      <c r="G92" s="17"/>
      <c r="H92" s="17"/>
      <c r="I92" s="17"/>
      <c r="J92" s="17"/>
      <c r="K92" s="17"/>
      <c r="L92" s="18">
        <f>TRUNC(100*Q92*(1-L7)*(1-N92))</f>
        <v>0</v>
      </c>
      <c r="M92" s="127" t="s">
        <v>173</v>
      </c>
      <c r="N92" s="124">
        <v>0</v>
      </c>
      <c r="O92" s="150">
        <f t="shared" si="14"/>
        <v>0</v>
      </c>
      <c r="P92" s="145">
        <f t="shared" si="7"/>
        <v>0</v>
      </c>
      <c r="Q92" s="146">
        <f t="shared" ref="Q92:Q111" si="15">IF(M92="Possédée",1,IF(M92="Assiégée",0.5,0))</f>
        <v>0</v>
      </c>
    </row>
    <row r="93" spans="1:17" x14ac:dyDescent="0.25">
      <c r="A93" t="s">
        <v>72</v>
      </c>
      <c r="B93" s="116">
        <v>15</v>
      </c>
      <c r="C93" s="17"/>
      <c r="D93" s="17"/>
      <c r="E93" s="17">
        <f>TRUNC(60*Q93*(1-L7)*(1-N93))</f>
        <v>0</v>
      </c>
      <c r="F93" s="17"/>
      <c r="G93" s="17"/>
      <c r="H93" s="17"/>
      <c r="I93" s="17"/>
      <c r="J93" s="17"/>
      <c r="K93" s="17">
        <f>TRUNC(110*Q93*(1-L7)*(1-N93))</f>
        <v>0</v>
      </c>
      <c r="L93" s="18"/>
      <c r="M93" s="127" t="s">
        <v>173</v>
      </c>
      <c r="N93" s="124">
        <v>0</v>
      </c>
      <c r="O93" s="150">
        <f t="shared" si="14"/>
        <v>0</v>
      </c>
      <c r="P93" s="145">
        <f t="shared" ref="P93:P118" si="16">IF(OR(M93="Possédée",M93="Assiégée"),B93,0)</f>
        <v>0</v>
      </c>
      <c r="Q93" s="146">
        <f t="shared" si="15"/>
        <v>0</v>
      </c>
    </row>
    <row r="94" spans="1:17" x14ac:dyDescent="0.25">
      <c r="A94" t="s">
        <v>73</v>
      </c>
      <c r="B94" s="116">
        <v>15</v>
      </c>
      <c r="C94" s="17"/>
      <c r="D94" s="17"/>
      <c r="E94" s="17"/>
      <c r="F94" s="17"/>
      <c r="G94" s="17">
        <f>TRUNC(100*Q94*(1-L7)*(1-N94))</f>
        <v>0</v>
      </c>
      <c r="H94" s="17">
        <f>TRUNC(50*Q94*(1-L7)*(1-N94))</f>
        <v>0</v>
      </c>
      <c r="I94" s="17"/>
      <c r="J94" s="17"/>
      <c r="K94" s="17"/>
      <c r="L94" s="18">
        <f>TRUNC(20*Q94*(1-L7)*(1-N94))</f>
        <v>0</v>
      </c>
      <c r="M94" s="127" t="s">
        <v>173</v>
      </c>
      <c r="N94" s="124">
        <v>0</v>
      </c>
      <c r="O94" s="150">
        <f t="shared" si="14"/>
        <v>0</v>
      </c>
      <c r="P94" s="145">
        <f t="shared" si="16"/>
        <v>0</v>
      </c>
      <c r="Q94" s="146">
        <f t="shared" si="15"/>
        <v>0</v>
      </c>
    </row>
    <row r="95" spans="1:17" x14ac:dyDescent="0.25">
      <c r="A95" t="s">
        <v>74</v>
      </c>
      <c r="B95" s="116">
        <v>15</v>
      </c>
      <c r="C95" s="17"/>
      <c r="D95" s="17"/>
      <c r="E95" s="17">
        <f>TRUNC(100*Q95*(1-L7)*(1-N95))</f>
        <v>0</v>
      </c>
      <c r="F95" s="17"/>
      <c r="G95" s="17">
        <f>TRUNC(70*Q95*(1-L7)*(1-N95))</f>
        <v>0</v>
      </c>
      <c r="H95" s="17"/>
      <c r="I95" s="17"/>
      <c r="J95" s="17"/>
      <c r="K95" s="17"/>
      <c r="L95" s="18"/>
      <c r="M95" s="127" t="s">
        <v>173</v>
      </c>
      <c r="N95" s="124">
        <v>0</v>
      </c>
      <c r="O95" s="150">
        <f t="shared" si="14"/>
        <v>0</v>
      </c>
      <c r="P95" s="145">
        <f t="shared" si="16"/>
        <v>0</v>
      </c>
      <c r="Q95" s="146">
        <f t="shared" si="15"/>
        <v>0</v>
      </c>
    </row>
    <row r="96" spans="1:17" x14ac:dyDescent="0.25">
      <c r="A96" t="s">
        <v>75</v>
      </c>
      <c r="B96" s="116">
        <v>15</v>
      </c>
      <c r="C96" s="17"/>
      <c r="D96" s="17"/>
      <c r="E96" s="17">
        <f>TRUNC(120*Q96*(1-L7)*(1-N96))</f>
        <v>0</v>
      </c>
      <c r="F96" s="17"/>
      <c r="G96" s="17"/>
      <c r="H96" s="17"/>
      <c r="I96" s="17"/>
      <c r="J96" s="17"/>
      <c r="K96" s="17">
        <f>TRUNC(50*Q96*(1-L7)*(1-N96))</f>
        <v>0</v>
      </c>
      <c r="L96" s="18"/>
      <c r="M96" s="127" t="s">
        <v>173</v>
      </c>
      <c r="N96" s="124">
        <v>0</v>
      </c>
      <c r="O96" s="150">
        <f t="shared" si="14"/>
        <v>0</v>
      </c>
      <c r="P96" s="145">
        <f t="shared" si="16"/>
        <v>0</v>
      </c>
      <c r="Q96" s="146">
        <f t="shared" si="15"/>
        <v>0</v>
      </c>
    </row>
    <row r="97" spans="1:17" ht="15.75" thickBot="1" x14ac:dyDescent="0.3">
      <c r="A97" t="s">
        <v>76</v>
      </c>
      <c r="B97" s="116">
        <v>15</v>
      </c>
      <c r="C97" s="17"/>
      <c r="D97" s="17"/>
      <c r="E97" s="17">
        <f>TRUNC(170*Q97*(1-L7)*(1-N97))</f>
        <v>0</v>
      </c>
      <c r="F97" s="17"/>
      <c r="G97" s="17"/>
      <c r="H97" s="17"/>
      <c r="I97" s="17"/>
      <c r="J97" s="17"/>
      <c r="K97" s="17"/>
      <c r="L97" s="18"/>
      <c r="M97" s="127" t="s">
        <v>173</v>
      </c>
      <c r="N97" s="124">
        <v>0</v>
      </c>
      <c r="O97" s="150">
        <f t="shared" si="14"/>
        <v>0</v>
      </c>
      <c r="P97" s="145">
        <f t="shared" si="16"/>
        <v>0</v>
      </c>
      <c r="Q97" s="146">
        <f t="shared" si="15"/>
        <v>0</v>
      </c>
    </row>
    <row r="98" spans="1:17" ht="15.75" thickBot="1" x14ac:dyDescent="0.3">
      <c r="A98" s="3" t="s">
        <v>77</v>
      </c>
      <c r="B98" s="117" t="s">
        <v>166</v>
      </c>
      <c r="C98" s="91" t="s">
        <v>8</v>
      </c>
      <c r="D98" s="92" t="s">
        <v>9</v>
      </c>
      <c r="E98" s="92" t="s">
        <v>10</v>
      </c>
      <c r="F98" s="92" t="s">
        <v>137</v>
      </c>
      <c r="G98" s="92" t="s">
        <v>11</v>
      </c>
      <c r="H98" s="92" t="s">
        <v>138</v>
      </c>
      <c r="I98" s="92" t="s">
        <v>139</v>
      </c>
      <c r="J98" s="92" t="s">
        <v>12</v>
      </c>
      <c r="K98" s="92" t="s">
        <v>13</v>
      </c>
      <c r="L98" s="93" t="s">
        <v>105</v>
      </c>
      <c r="M98" s="93"/>
      <c r="N98" s="93"/>
      <c r="O98" s="151"/>
      <c r="P98" s="147"/>
      <c r="Q98" s="148"/>
    </row>
    <row r="99" spans="1:17" x14ac:dyDescent="0.25">
      <c r="A99" t="s">
        <v>78</v>
      </c>
      <c r="B99" s="115">
        <v>15</v>
      </c>
      <c r="C99" s="15"/>
      <c r="D99" s="15"/>
      <c r="E99" s="15"/>
      <c r="F99" s="15"/>
      <c r="G99" s="15">
        <f>TRUNC(30*Q99*(1-L7)*(1-N99))</f>
        <v>0</v>
      </c>
      <c r="H99" s="15">
        <f>TRUNC(40*Q99*(1-L7)*(1-N99))</f>
        <v>0</v>
      </c>
      <c r="I99" s="15">
        <f>TRUNC(140*Q99*(1-L7)*(1-N99))</f>
        <v>0</v>
      </c>
      <c r="J99" s="15"/>
      <c r="K99" s="15"/>
      <c r="L99" s="16"/>
      <c r="M99" s="127" t="s">
        <v>173</v>
      </c>
      <c r="N99" s="124">
        <v>0</v>
      </c>
      <c r="O99" s="149">
        <f>IF(E$6="Val-Boisé",60000*Q99*(1-L$7)*(1-N99),30000*Q99*(1-L$7)*(1-N99))</f>
        <v>0</v>
      </c>
      <c r="P99" s="145">
        <f t="shared" si="16"/>
        <v>0</v>
      </c>
      <c r="Q99" s="146">
        <f t="shared" si="15"/>
        <v>0</v>
      </c>
    </row>
    <row r="100" spans="1:17" x14ac:dyDescent="0.25">
      <c r="A100" t="s">
        <v>79</v>
      </c>
      <c r="B100" s="116">
        <v>15</v>
      </c>
      <c r="C100" s="17"/>
      <c r="D100" s="17"/>
      <c r="E100" s="17"/>
      <c r="F100" s="17"/>
      <c r="G100" s="17"/>
      <c r="H100" s="17"/>
      <c r="I100" s="17">
        <f>TRUNC(50*Q100*(1-L7)*(1-N100))</f>
        <v>0</v>
      </c>
      <c r="J100" s="17">
        <f>TRUNC(120*Q100*(1-L7)*(1-N100))</f>
        <v>0</v>
      </c>
      <c r="K100" s="17"/>
      <c r="L100" s="18"/>
      <c r="M100" s="127" t="s">
        <v>173</v>
      </c>
      <c r="N100" s="124">
        <v>0</v>
      </c>
      <c r="O100" s="150">
        <f t="shared" ref="O100:O106" si="17">30000*Q100*(1-L$7)*(1-N100)</f>
        <v>0</v>
      </c>
      <c r="P100" s="145">
        <f t="shared" si="16"/>
        <v>0</v>
      </c>
      <c r="Q100" s="146">
        <f t="shared" si="15"/>
        <v>0</v>
      </c>
    </row>
    <row r="101" spans="1:17" x14ac:dyDescent="0.25">
      <c r="A101" t="s">
        <v>80</v>
      </c>
      <c r="B101" s="116">
        <v>15</v>
      </c>
      <c r="C101" s="17"/>
      <c r="D101" s="17"/>
      <c r="E101" s="17"/>
      <c r="F101" s="17">
        <f>TRUNC(70*Q101*(1-L7)*(1-N101))</f>
        <v>0</v>
      </c>
      <c r="G101" s="17">
        <f>TRUNC(40*Q101*(1-L7)*(1-N101))</f>
        <v>0</v>
      </c>
      <c r="H101" s="17"/>
      <c r="I101" s="17"/>
      <c r="J101" s="17"/>
      <c r="K101" s="17">
        <f>TRUNC(20*Q101*(1-L7)*(1-N101))</f>
        <v>0</v>
      </c>
      <c r="L101" s="18">
        <f>TRUNC(40*Q101*(1-L7)*(1-N101))</f>
        <v>0</v>
      </c>
      <c r="M101" s="127" t="s">
        <v>173</v>
      </c>
      <c r="N101" s="124">
        <v>0</v>
      </c>
      <c r="O101" s="150">
        <f t="shared" si="17"/>
        <v>0</v>
      </c>
      <c r="P101" s="145">
        <f t="shared" si="16"/>
        <v>0</v>
      </c>
      <c r="Q101" s="146">
        <f t="shared" si="15"/>
        <v>0</v>
      </c>
    </row>
    <row r="102" spans="1:17" x14ac:dyDescent="0.25">
      <c r="A102" t="s">
        <v>81</v>
      </c>
      <c r="B102" s="116">
        <v>15</v>
      </c>
      <c r="C102" s="17"/>
      <c r="D102" s="17"/>
      <c r="E102" s="17"/>
      <c r="F102" s="17"/>
      <c r="G102" s="17"/>
      <c r="H102" s="17"/>
      <c r="I102" s="17">
        <f>TRUNC(170*Q102*(1-L7)*(1-N102))</f>
        <v>0</v>
      </c>
      <c r="J102" s="17"/>
      <c r="K102" s="17"/>
      <c r="L102" s="18"/>
      <c r="M102" s="127" t="s">
        <v>173</v>
      </c>
      <c r="N102" s="124">
        <v>0</v>
      </c>
      <c r="O102" s="150">
        <f t="shared" si="17"/>
        <v>0</v>
      </c>
      <c r="P102" s="145">
        <f t="shared" si="16"/>
        <v>0</v>
      </c>
      <c r="Q102" s="146">
        <f t="shared" si="15"/>
        <v>0</v>
      </c>
    </row>
    <row r="103" spans="1:17" x14ac:dyDescent="0.25">
      <c r="A103" t="s">
        <v>82</v>
      </c>
      <c r="B103" s="116">
        <v>15</v>
      </c>
      <c r="C103" s="17">
        <f>TRUNC(100*Q103*(1-L7)*(1-N103))</f>
        <v>0</v>
      </c>
      <c r="D103" s="17"/>
      <c r="E103" s="17"/>
      <c r="F103" s="17"/>
      <c r="G103" s="17"/>
      <c r="H103" s="17"/>
      <c r="I103" s="17"/>
      <c r="J103" s="17">
        <f>TRUNC(70*Q103*(1-L7)*(1-N103))</f>
        <v>0</v>
      </c>
      <c r="K103" s="17"/>
      <c r="L103" s="18"/>
      <c r="M103" s="127" t="s">
        <v>173</v>
      </c>
      <c r="N103" s="124">
        <v>0</v>
      </c>
      <c r="O103" s="150">
        <f t="shared" si="17"/>
        <v>0</v>
      </c>
      <c r="P103" s="145">
        <f t="shared" si="16"/>
        <v>0</v>
      </c>
      <c r="Q103" s="146">
        <f t="shared" si="15"/>
        <v>0</v>
      </c>
    </row>
    <row r="104" spans="1:17" x14ac:dyDescent="0.25">
      <c r="A104" t="s">
        <v>83</v>
      </c>
      <c r="B104" s="116">
        <v>15</v>
      </c>
      <c r="C104" s="17">
        <f>TRUNC(170*Q104*(1-L7)*(1-N104))</f>
        <v>0</v>
      </c>
      <c r="D104" s="17"/>
      <c r="E104" s="17"/>
      <c r="F104" s="17"/>
      <c r="G104" s="17"/>
      <c r="H104" s="17"/>
      <c r="I104" s="17"/>
      <c r="J104" s="17"/>
      <c r="K104" s="17"/>
      <c r="L104" s="18"/>
      <c r="M104" s="127" t="s">
        <v>173</v>
      </c>
      <c r="N104" s="124">
        <v>0</v>
      </c>
      <c r="O104" s="150">
        <f t="shared" si="17"/>
        <v>0</v>
      </c>
      <c r="P104" s="145">
        <f t="shared" si="16"/>
        <v>0</v>
      </c>
      <c r="Q104" s="146">
        <f t="shared" si="15"/>
        <v>0</v>
      </c>
    </row>
    <row r="105" spans="1:17" x14ac:dyDescent="0.25">
      <c r="A105" t="s">
        <v>84</v>
      </c>
      <c r="B105" s="116">
        <v>15</v>
      </c>
      <c r="C105" s="17"/>
      <c r="D105" s="17"/>
      <c r="E105" s="17"/>
      <c r="F105" s="17"/>
      <c r="G105" s="17"/>
      <c r="H105" s="17">
        <f>TRUNC(170*Q105*(1-L7)*(1-N105))</f>
        <v>0</v>
      </c>
      <c r="I105" s="17"/>
      <c r="J105" s="17"/>
      <c r="K105" s="17"/>
      <c r="L105" s="18"/>
      <c r="M105" s="127" t="s">
        <v>173</v>
      </c>
      <c r="N105" s="124">
        <v>0</v>
      </c>
      <c r="O105" s="150">
        <f t="shared" si="17"/>
        <v>0</v>
      </c>
      <c r="P105" s="145">
        <f t="shared" si="16"/>
        <v>0</v>
      </c>
      <c r="Q105" s="146">
        <f t="shared" si="15"/>
        <v>0</v>
      </c>
    </row>
    <row r="106" spans="1:17" ht="15.75" thickBot="1" x14ac:dyDescent="0.3">
      <c r="A106" t="s">
        <v>85</v>
      </c>
      <c r="B106" s="116">
        <v>15</v>
      </c>
      <c r="C106" s="17">
        <f>TRUNC(60*Q106*(1-L7)*(1-N106))</f>
        <v>0</v>
      </c>
      <c r="D106" s="17"/>
      <c r="E106" s="17"/>
      <c r="F106" s="17"/>
      <c r="G106" s="17"/>
      <c r="H106" s="17"/>
      <c r="I106" s="17">
        <f>TRUNC(110*Q106*(1-L7)*(1-N106))</f>
        <v>0</v>
      </c>
      <c r="J106" s="17"/>
      <c r="K106" s="17"/>
      <c r="L106" s="18"/>
      <c r="M106" s="127" t="s">
        <v>173</v>
      </c>
      <c r="N106" s="124">
        <v>0</v>
      </c>
      <c r="O106" s="150">
        <f t="shared" si="17"/>
        <v>0</v>
      </c>
      <c r="P106" s="145">
        <f t="shared" si="16"/>
        <v>0</v>
      </c>
      <c r="Q106" s="146">
        <f t="shared" si="15"/>
        <v>0</v>
      </c>
    </row>
    <row r="107" spans="1:17" ht="15.75" thickBot="1" x14ac:dyDescent="0.3">
      <c r="A107" s="3" t="s">
        <v>86</v>
      </c>
      <c r="B107" s="117" t="s">
        <v>166</v>
      </c>
      <c r="C107" s="91" t="s">
        <v>8</v>
      </c>
      <c r="D107" s="92" t="s">
        <v>9</v>
      </c>
      <c r="E107" s="92" t="s">
        <v>10</v>
      </c>
      <c r="F107" s="92" t="s">
        <v>137</v>
      </c>
      <c r="G107" s="92" t="s">
        <v>11</v>
      </c>
      <c r="H107" s="92" t="s">
        <v>138</v>
      </c>
      <c r="I107" s="92" t="s">
        <v>139</v>
      </c>
      <c r="J107" s="92" t="s">
        <v>12</v>
      </c>
      <c r="K107" s="92" t="s">
        <v>13</v>
      </c>
      <c r="L107" s="93" t="s">
        <v>105</v>
      </c>
      <c r="M107" s="93"/>
      <c r="N107" s="93"/>
      <c r="O107" s="151"/>
      <c r="P107" s="147"/>
      <c r="Q107" s="148"/>
    </row>
    <row r="108" spans="1:17" x14ac:dyDescent="0.25">
      <c r="A108" t="s">
        <v>89</v>
      </c>
      <c r="B108" s="115">
        <v>15</v>
      </c>
      <c r="C108" s="15"/>
      <c r="D108" s="15"/>
      <c r="E108" s="15">
        <f>TRUNC(90*Q108*(1-L7)*(1-N108))</f>
        <v>0</v>
      </c>
      <c r="F108" s="15"/>
      <c r="G108" s="15"/>
      <c r="H108" s="15"/>
      <c r="I108" s="15"/>
      <c r="J108" s="15"/>
      <c r="K108" s="15">
        <f>TRUNC(120*Q108*(1-L7)*(1-N108))</f>
        <v>0</v>
      </c>
      <c r="L108" s="16"/>
      <c r="M108" s="127" t="s">
        <v>173</v>
      </c>
      <c r="N108" s="124">
        <v>0</v>
      </c>
      <c r="O108" s="149">
        <f>IF(E$6="Solstheim",60000*Q108*(1-L$7)*(1-N108),30000*Q108*(1-L$7)*(1-N108))</f>
        <v>0</v>
      </c>
      <c r="P108" s="145">
        <f t="shared" si="16"/>
        <v>0</v>
      </c>
      <c r="Q108" s="146">
        <f t="shared" si="15"/>
        <v>0</v>
      </c>
    </row>
    <row r="109" spans="1:17" x14ac:dyDescent="0.25">
      <c r="A109" t="s">
        <v>88</v>
      </c>
      <c r="B109" s="116">
        <v>15</v>
      </c>
      <c r="C109" s="17"/>
      <c r="D109" s="17"/>
      <c r="E109" s="17">
        <f>TRUNC(80*Q109*(1-L7)*(1-N109))</f>
        <v>0</v>
      </c>
      <c r="F109" s="17"/>
      <c r="G109" s="17">
        <f>TRUNC(20*Q109*(1-L7)*(1-N109))</f>
        <v>0</v>
      </c>
      <c r="H109" s="17"/>
      <c r="I109" s="17"/>
      <c r="J109" s="17"/>
      <c r="K109" s="17">
        <f>TRUNC(70*Q109*(1-L7)*(1-N109))</f>
        <v>0</v>
      </c>
      <c r="L109" s="18"/>
      <c r="M109" s="127" t="s">
        <v>173</v>
      </c>
      <c r="N109" s="124">
        <v>0</v>
      </c>
      <c r="O109" s="150">
        <f t="shared" ref="O109:O110" si="18">30000*Q109*(1-L$7)*(1-N109)</f>
        <v>0</v>
      </c>
      <c r="P109" s="145">
        <f t="shared" si="16"/>
        <v>0</v>
      </c>
      <c r="Q109" s="146">
        <f t="shared" si="15"/>
        <v>0</v>
      </c>
    </row>
    <row r="110" spans="1:17" ht="15.75" thickBot="1" x14ac:dyDescent="0.3">
      <c r="A110" s="39" t="s">
        <v>87</v>
      </c>
      <c r="B110" s="116">
        <v>15</v>
      </c>
      <c r="C110" s="19"/>
      <c r="D110" s="17">
        <f>TRUNC(90*Q110*(1-L7)*(1-N110))</f>
        <v>0</v>
      </c>
      <c r="E110" s="17"/>
      <c r="F110" s="17"/>
      <c r="G110" s="17">
        <f>TRUNC(30*Q110*(1-L7)*(1-N110))</f>
        <v>0</v>
      </c>
      <c r="H110" s="17"/>
      <c r="I110" s="17"/>
      <c r="J110" s="17"/>
      <c r="K110" s="17">
        <f>TRUNC(50*Q110*(1-L7)*(1-N110))</f>
        <v>0</v>
      </c>
      <c r="L110" s="18"/>
      <c r="M110" s="127" t="s">
        <v>173</v>
      </c>
      <c r="N110" s="124">
        <v>0</v>
      </c>
      <c r="O110" s="150">
        <f t="shared" si="18"/>
        <v>0</v>
      </c>
      <c r="P110" s="145">
        <f t="shared" si="16"/>
        <v>0</v>
      </c>
      <c r="Q110" s="146">
        <f t="shared" si="15"/>
        <v>0</v>
      </c>
    </row>
    <row r="111" spans="1:17" ht="15.75" thickBot="1" x14ac:dyDescent="0.3">
      <c r="A111" s="3" t="s">
        <v>140</v>
      </c>
      <c r="B111" s="119">
        <v>15</v>
      </c>
      <c r="C111" s="113"/>
      <c r="D111" s="89"/>
      <c r="E111" s="89">
        <f>TRUNC(70*Q111*(1-L7)*(1-N111))</f>
        <v>0</v>
      </c>
      <c r="F111" s="89"/>
      <c r="G111" s="89">
        <f>TRUNC(40*Q111*(1-L7)*(1-N111))</f>
        <v>0</v>
      </c>
      <c r="H111" s="89"/>
      <c r="I111" s="89"/>
      <c r="J111" s="89"/>
      <c r="K111" s="89">
        <f>TRUNC(100*Q111*(1-L7)*(1-N111))</f>
        <v>0</v>
      </c>
      <c r="L111" s="90"/>
      <c r="M111" s="127" t="s">
        <v>173</v>
      </c>
      <c r="N111" s="124">
        <v>0</v>
      </c>
      <c r="O111" s="150">
        <f>IF(E$6="Orsinium",60000*Q111*(1-L$7)*(1-N111),30000*Q111*(1-L$7)*(1-N111))</f>
        <v>0</v>
      </c>
      <c r="P111" s="145">
        <f t="shared" si="16"/>
        <v>0</v>
      </c>
      <c r="Q111" s="146">
        <f t="shared" si="15"/>
        <v>0</v>
      </c>
    </row>
    <row r="112" spans="1:17" ht="15.75" thickBot="1" x14ac:dyDescent="0.3">
      <c r="A112" s="3" t="s">
        <v>215</v>
      </c>
      <c r="B112" s="117" t="s">
        <v>166</v>
      </c>
      <c r="C112" s="91" t="s">
        <v>8</v>
      </c>
      <c r="D112" s="92" t="s">
        <v>9</v>
      </c>
      <c r="E112" s="92" t="s">
        <v>10</v>
      </c>
      <c r="F112" s="92" t="s">
        <v>137</v>
      </c>
      <c r="G112" s="92" t="s">
        <v>11</v>
      </c>
      <c r="H112" s="92" t="s">
        <v>138</v>
      </c>
      <c r="I112" s="92" t="s">
        <v>139</v>
      </c>
      <c r="J112" s="92" t="s">
        <v>12</v>
      </c>
      <c r="K112" s="92" t="s">
        <v>13</v>
      </c>
      <c r="L112" s="93" t="s">
        <v>105</v>
      </c>
      <c r="M112" s="93"/>
      <c r="N112" s="93"/>
      <c r="O112" s="151"/>
      <c r="P112" s="147"/>
      <c r="Q112" s="148"/>
    </row>
    <row r="113" spans="1:17" x14ac:dyDescent="0.25">
      <c r="A113" t="s">
        <v>142</v>
      </c>
      <c r="B113" s="115">
        <v>0</v>
      </c>
      <c r="C113" s="15"/>
      <c r="D113" s="15"/>
      <c r="E113" s="15">
        <f>TRUNC(10*Q113*(1-N113))</f>
        <v>0</v>
      </c>
      <c r="F113" s="15"/>
      <c r="G113" s="15"/>
      <c r="H113" s="15">
        <f>TRUNC(10*Q113*(1-N113))</f>
        <v>0</v>
      </c>
      <c r="I113" s="15"/>
      <c r="J113" s="15">
        <f>TRUNC(10*Q113*(1-N113))</f>
        <v>0</v>
      </c>
      <c r="K113" s="15"/>
      <c r="L113" s="16"/>
      <c r="M113" s="127" t="s">
        <v>173</v>
      </c>
      <c r="N113" s="124">
        <v>0</v>
      </c>
      <c r="O113" s="149">
        <f>IF(E$6="Strik",40000*Q113*(1-L$7)*(1-N113),0)</f>
        <v>0</v>
      </c>
      <c r="P113" s="145">
        <f t="shared" si="16"/>
        <v>0</v>
      </c>
      <c r="Q113" s="146">
        <f>IF(E$6=A113,IF(M113="Possédée",1,IF(M113="Assiégée",0.5,0)),0)</f>
        <v>0</v>
      </c>
    </row>
    <row r="114" spans="1:17" x14ac:dyDescent="0.25">
      <c r="A114" t="s">
        <v>143</v>
      </c>
      <c r="B114" s="116">
        <v>0</v>
      </c>
      <c r="C114" s="17"/>
      <c r="D114" s="17"/>
      <c r="E114" s="17">
        <f>TRUNC(10*Q114*(1-N114))</f>
        <v>0</v>
      </c>
      <c r="F114" s="17"/>
      <c r="G114" s="17"/>
      <c r="H114" s="17">
        <f>TRUNC(10*Q114*(1-N114))</f>
        <v>0</v>
      </c>
      <c r="I114" s="17"/>
      <c r="J114" s="17">
        <f>TRUNC(10*Q114*(1-N114))</f>
        <v>0</v>
      </c>
      <c r="K114" s="17"/>
      <c r="L114" s="18"/>
      <c r="M114" s="127" t="s">
        <v>173</v>
      </c>
      <c r="N114" s="124">
        <v>0</v>
      </c>
      <c r="O114" s="150">
        <f>IF(E$6="Stros M'Kai",40000*Q114*(1-L$7)*(1-N114),0)</f>
        <v>0</v>
      </c>
      <c r="P114" s="145">
        <f t="shared" si="16"/>
        <v>0</v>
      </c>
      <c r="Q114" s="146">
        <f t="shared" ref="Q114:Q118" si="19">IF(E$6=A114,IF(M114="Possédée",1,IF(M114="Assiégée",0.5,0)),0)</f>
        <v>0</v>
      </c>
    </row>
    <row r="115" spans="1:17" x14ac:dyDescent="0.25">
      <c r="A115" t="s">
        <v>144</v>
      </c>
      <c r="B115" s="116">
        <v>0</v>
      </c>
      <c r="C115" s="17"/>
      <c r="D115" s="17"/>
      <c r="E115" s="17">
        <f t="shared" ref="E115:E118" si="20">TRUNC(10*Q115*(1-N115))</f>
        <v>0</v>
      </c>
      <c r="F115" s="17"/>
      <c r="G115" s="17"/>
      <c r="H115" s="17">
        <f t="shared" ref="H115:H118" si="21">TRUNC(10*Q115*(1-N115))</f>
        <v>0</v>
      </c>
      <c r="I115" s="17"/>
      <c r="J115" s="17">
        <f t="shared" ref="J115:J118" si="22">TRUNC(10*Q115*(1-N115))</f>
        <v>0</v>
      </c>
      <c r="K115" s="17"/>
      <c r="L115" s="18"/>
      <c r="M115" s="127" t="s">
        <v>173</v>
      </c>
      <c r="N115" s="124">
        <v>0</v>
      </c>
      <c r="O115" s="150">
        <f>IF(E$6="Vivec",40000*Q115*(1-L$7)*(1-N115),0)</f>
        <v>0</v>
      </c>
      <c r="P115" s="145">
        <f t="shared" si="16"/>
        <v>0</v>
      </c>
      <c r="Q115" s="146">
        <f t="shared" si="19"/>
        <v>0</v>
      </c>
    </row>
    <row r="116" spans="1:17" x14ac:dyDescent="0.25">
      <c r="A116" t="s">
        <v>145</v>
      </c>
      <c r="B116" s="116">
        <v>0</v>
      </c>
      <c r="C116" s="17"/>
      <c r="D116" s="17"/>
      <c r="E116" s="17">
        <f t="shared" si="20"/>
        <v>0</v>
      </c>
      <c r="F116" s="17"/>
      <c r="G116" s="17"/>
      <c r="H116" s="17">
        <f t="shared" si="21"/>
        <v>0</v>
      </c>
      <c r="I116" s="17"/>
      <c r="J116" s="17">
        <f t="shared" si="22"/>
        <v>0</v>
      </c>
      <c r="K116" s="17"/>
      <c r="L116" s="18"/>
      <c r="M116" s="127" t="s">
        <v>173</v>
      </c>
      <c r="N116" s="124">
        <v>0</v>
      </c>
      <c r="O116" s="150">
        <f>IF(E$6="Sadrith Mora",40000*Q116*(1-L$7)*(1-N116),0)</f>
        <v>0</v>
      </c>
      <c r="P116" s="145">
        <f t="shared" si="16"/>
        <v>0</v>
      </c>
      <c r="Q116" s="146">
        <f t="shared" si="19"/>
        <v>0</v>
      </c>
    </row>
    <row r="117" spans="1:17" x14ac:dyDescent="0.25">
      <c r="A117" t="s">
        <v>146</v>
      </c>
      <c r="B117" s="116">
        <v>0</v>
      </c>
      <c r="C117" s="17"/>
      <c r="D117" s="17"/>
      <c r="E117" s="17">
        <f t="shared" si="20"/>
        <v>0</v>
      </c>
      <c r="F117" s="17"/>
      <c r="G117" s="17"/>
      <c r="H117" s="17">
        <f t="shared" si="21"/>
        <v>0</v>
      </c>
      <c r="I117" s="17"/>
      <c r="J117" s="17">
        <f t="shared" si="22"/>
        <v>0</v>
      </c>
      <c r="K117" s="17"/>
      <c r="L117" s="18"/>
      <c r="M117" s="127" t="s">
        <v>173</v>
      </c>
      <c r="N117" s="124">
        <v>0</v>
      </c>
      <c r="O117" s="150">
        <f>IF(E$6="Dagon Fel",40000*Q117*(1-L$7)*(1-N117),0)</f>
        <v>0</v>
      </c>
      <c r="P117" s="145">
        <f t="shared" si="16"/>
        <v>0</v>
      </c>
      <c r="Q117" s="146">
        <f t="shared" si="19"/>
        <v>0</v>
      </c>
    </row>
    <row r="118" spans="1:17" ht="15.75" thickBot="1" x14ac:dyDescent="0.3">
      <c r="A118" s="40" t="s">
        <v>147</v>
      </c>
      <c r="B118" s="118">
        <v>0</v>
      </c>
      <c r="C118" s="21"/>
      <c r="D118" s="21"/>
      <c r="E118" s="17">
        <f t="shared" si="20"/>
        <v>0</v>
      </c>
      <c r="F118" s="21"/>
      <c r="G118" s="21"/>
      <c r="H118" s="17">
        <f t="shared" si="21"/>
        <v>0</v>
      </c>
      <c r="I118" s="21"/>
      <c r="J118" s="17">
        <f t="shared" si="22"/>
        <v>0</v>
      </c>
      <c r="K118" s="21"/>
      <c r="L118" s="22"/>
      <c r="M118" s="128" t="s">
        <v>173</v>
      </c>
      <c r="N118" s="125">
        <v>0</v>
      </c>
      <c r="O118" s="150">
        <f>IF(E$6="Port Telvannis",40000*Q118*(1-L$7)*(1-N118),0)</f>
        <v>0</v>
      </c>
      <c r="P118" s="145">
        <f t="shared" si="16"/>
        <v>0</v>
      </c>
      <c r="Q118" s="146">
        <f t="shared" si="19"/>
        <v>0</v>
      </c>
    </row>
    <row r="119" spans="1:17" ht="15.75" thickBot="1" x14ac:dyDescent="0.3">
      <c r="A119" s="132" t="s">
        <v>202</v>
      </c>
      <c r="B119" s="119">
        <f>SUM(P27:P118)</f>
        <v>120</v>
      </c>
      <c r="C119" s="89">
        <f>SUM(C27:C118)</f>
        <v>220</v>
      </c>
      <c r="D119" s="89">
        <f>SUM(D27:D118)</f>
        <v>420</v>
      </c>
      <c r="E119" s="89">
        <f>SUM(E27:E118)</f>
        <v>20</v>
      </c>
      <c r="F119" s="89">
        <f t="shared" ref="F119:L119" si="23">SUM(F27:F118)</f>
        <v>0</v>
      </c>
      <c r="G119" s="89">
        <f t="shared" si="23"/>
        <v>170</v>
      </c>
      <c r="H119" s="89">
        <f t="shared" si="23"/>
        <v>180</v>
      </c>
      <c r="I119" s="89">
        <f t="shared" si="23"/>
        <v>0</v>
      </c>
      <c r="J119" s="89">
        <f t="shared" si="23"/>
        <v>0</v>
      </c>
      <c r="K119" s="89">
        <f t="shared" si="23"/>
        <v>70</v>
      </c>
      <c r="L119" s="89">
        <f t="shared" si="23"/>
        <v>320</v>
      </c>
      <c r="M119" s="133"/>
      <c r="N119" s="134"/>
      <c r="O119" s="151">
        <f>SUM(O27:O118)</f>
        <v>270000</v>
      </c>
      <c r="P119" s="147"/>
      <c r="Q119" s="148"/>
    </row>
    <row r="120" spans="1:17" x14ac:dyDescent="0.25">
      <c r="A120" s="131" t="s">
        <v>216</v>
      </c>
    </row>
    <row r="122" spans="1:17" x14ac:dyDescent="0.25">
      <c r="A122" t="s">
        <v>160</v>
      </c>
    </row>
    <row r="123" spans="1:17" x14ac:dyDescent="0.25">
      <c r="A123" t="s">
        <v>22</v>
      </c>
      <c r="D123" t="s">
        <v>199</v>
      </c>
    </row>
    <row r="124" spans="1:17" x14ac:dyDescent="0.25">
      <c r="A124" t="s">
        <v>23</v>
      </c>
      <c r="B124" s="122">
        <v>0</v>
      </c>
      <c r="C124" t="s">
        <v>178</v>
      </c>
      <c r="D124" t="s">
        <v>200</v>
      </c>
      <c r="E124">
        <f>COUNTIF(M27:M111,"Possédée")+COUNTIF(M27:M111,"Assiégée")</f>
        <v>8</v>
      </c>
    </row>
    <row r="125" spans="1:17" x14ac:dyDescent="0.25">
      <c r="A125" t="s">
        <v>24</v>
      </c>
      <c r="B125" s="122">
        <v>0.05</v>
      </c>
      <c r="C125" t="s">
        <v>179</v>
      </c>
      <c r="D125" t="s">
        <v>217</v>
      </c>
      <c r="E125">
        <f>COUNTIF(M113:M118,"Possédée")+COUNTIF(M113:M118,"Assiégée")</f>
        <v>0</v>
      </c>
    </row>
    <row r="126" spans="1:17" x14ac:dyDescent="0.25">
      <c r="A126" t="s">
        <v>33</v>
      </c>
      <c r="B126" s="122">
        <v>0.1</v>
      </c>
      <c r="C126" t="s">
        <v>180</v>
      </c>
      <c r="D126" s="97" t="s">
        <v>218</v>
      </c>
      <c r="E126">
        <f>COUNTIF(M27:M118,"Possédée")+COUNTIF(M27:M118,"Assiégée")</f>
        <v>8</v>
      </c>
    </row>
    <row r="127" spans="1:17" x14ac:dyDescent="0.25">
      <c r="A127" t="s">
        <v>41</v>
      </c>
      <c r="B127" s="122">
        <v>0.15</v>
      </c>
      <c r="C127" t="s">
        <v>181</v>
      </c>
      <c r="D127" t="s">
        <v>201</v>
      </c>
      <c r="E127">
        <f>COUNTIF(M27:M118,"Assiégée")</f>
        <v>0</v>
      </c>
    </row>
    <row r="128" spans="1:17" x14ac:dyDescent="0.25">
      <c r="A128" t="s">
        <v>49</v>
      </c>
      <c r="B128" s="122">
        <v>0.2</v>
      </c>
      <c r="C128" t="s">
        <v>182</v>
      </c>
    </row>
    <row r="129" spans="1:3" x14ac:dyDescent="0.25">
      <c r="A129" t="s">
        <v>59</v>
      </c>
      <c r="B129" s="122">
        <v>0.25</v>
      </c>
      <c r="C129" t="s">
        <v>183</v>
      </c>
    </row>
    <row r="130" spans="1:3" x14ac:dyDescent="0.25">
      <c r="A130" t="s">
        <v>68</v>
      </c>
      <c r="B130" s="122">
        <v>0.3</v>
      </c>
      <c r="C130" t="s">
        <v>184</v>
      </c>
    </row>
    <row r="131" spans="1:3" x14ac:dyDescent="0.25">
      <c r="A131" t="s">
        <v>77</v>
      </c>
      <c r="B131" s="122">
        <v>0.35</v>
      </c>
      <c r="C131" t="s">
        <v>185</v>
      </c>
    </row>
    <row r="132" spans="1:3" x14ac:dyDescent="0.25">
      <c r="A132" t="s">
        <v>86</v>
      </c>
      <c r="B132" s="122">
        <v>0.4</v>
      </c>
      <c r="C132" t="s">
        <v>186</v>
      </c>
    </row>
    <row r="133" spans="1:3" x14ac:dyDescent="0.25">
      <c r="A133" t="s">
        <v>140</v>
      </c>
      <c r="B133" s="122">
        <v>0.45</v>
      </c>
      <c r="C133" t="s">
        <v>187</v>
      </c>
    </row>
    <row r="134" spans="1:3" x14ac:dyDescent="0.25">
      <c r="A134" t="s">
        <v>142</v>
      </c>
      <c r="B134" s="122">
        <v>0.5</v>
      </c>
      <c r="C134" t="s">
        <v>188</v>
      </c>
    </row>
    <row r="135" spans="1:3" x14ac:dyDescent="0.25">
      <c r="A135" t="s">
        <v>143</v>
      </c>
      <c r="B135" s="122">
        <v>0.55000000000000004</v>
      </c>
      <c r="C135" t="s">
        <v>189</v>
      </c>
    </row>
    <row r="136" spans="1:3" x14ac:dyDescent="0.25">
      <c r="A136" t="s">
        <v>144</v>
      </c>
      <c r="B136" s="122">
        <v>0.6</v>
      </c>
      <c r="C136" t="s">
        <v>190</v>
      </c>
    </row>
    <row r="137" spans="1:3" x14ac:dyDescent="0.25">
      <c r="A137" t="s">
        <v>145</v>
      </c>
      <c r="B137" s="122">
        <v>0.65</v>
      </c>
      <c r="C137" t="s">
        <v>191</v>
      </c>
    </row>
    <row r="138" spans="1:3" x14ac:dyDescent="0.25">
      <c r="A138" t="s">
        <v>146</v>
      </c>
      <c r="B138" s="122">
        <v>0.7</v>
      </c>
      <c r="C138" t="s">
        <v>192</v>
      </c>
    </row>
    <row r="139" spans="1:3" x14ac:dyDescent="0.25">
      <c r="A139" t="s">
        <v>147</v>
      </c>
      <c r="B139" s="122">
        <v>0.75</v>
      </c>
      <c r="C139" t="s">
        <v>193</v>
      </c>
    </row>
    <row r="140" spans="1:3" x14ac:dyDescent="0.25">
      <c r="A140" t="s">
        <v>219</v>
      </c>
      <c r="B140" s="122">
        <v>0.8</v>
      </c>
      <c r="C140" t="s">
        <v>194</v>
      </c>
    </row>
    <row r="141" spans="1:3" x14ac:dyDescent="0.25">
      <c r="B141" s="122">
        <v>0.85</v>
      </c>
      <c r="C141" t="s">
        <v>195</v>
      </c>
    </row>
    <row r="142" spans="1:3" x14ac:dyDescent="0.25">
      <c r="B142" s="122">
        <v>0.9</v>
      </c>
      <c r="C142" t="s">
        <v>196</v>
      </c>
    </row>
    <row r="143" spans="1:3" x14ac:dyDescent="0.25">
      <c r="B143" s="122">
        <v>0.95</v>
      </c>
      <c r="C143" t="s">
        <v>197</v>
      </c>
    </row>
    <row r="144" spans="1:3" x14ac:dyDescent="0.25">
      <c r="B144" s="122">
        <v>1</v>
      </c>
      <c r="C144" t="s">
        <v>198</v>
      </c>
    </row>
    <row r="145" spans="3:3" x14ac:dyDescent="0.25">
      <c r="C145" t="s">
        <v>209</v>
      </c>
    </row>
    <row r="146" spans="3:3" x14ac:dyDescent="0.25">
      <c r="C146" t="s">
        <v>210</v>
      </c>
    </row>
    <row r="147" spans="3:3" x14ac:dyDescent="0.25">
      <c r="C147" t="s">
        <v>211</v>
      </c>
    </row>
    <row r="148" spans="3:3" x14ac:dyDescent="0.25">
      <c r="C148" t="s">
        <v>212</v>
      </c>
    </row>
  </sheetData>
  <mergeCells count="6">
    <mergeCell ref="P25:Q25"/>
    <mergeCell ref="E6:G6"/>
    <mergeCell ref="H6:K6"/>
    <mergeCell ref="C7:D7"/>
    <mergeCell ref="H7:K7"/>
    <mergeCell ref="C25:L25"/>
  </mergeCells>
  <conditionalFormatting sqref="C21:L21">
    <cfRule type="cellIs" dxfId="63" priority="5" operator="greaterThanOrEqual">
      <formula>0</formula>
    </cfRule>
    <cfRule type="cellIs" dxfId="62" priority="6" operator="lessThan">
      <formula>0</formula>
    </cfRule>
  </conditionalFormatting>
  <conditionalFormatting sqref="C13:L13">
    <cfRule type="containsText" dxfId="61" priority="7" operator="containsText" text="Oui">
      <formula>NOT(ISERROR(SEARCH("Oui",C13)))</formula>
    </cfRule>
    <cfRule type="containsText" dxfId="60" priority="8" operator="containsText" text="Non">
      <formula>NOT(ISERROR(SEARCH("Non",C13)))</formula>
    </cfRule>
  </conditionalFormatting>
  <conditionalFormatting sqref="M27:M34 M36:M43 M45:M53 M55:M61 M63:M70 M72:M79 M81:M88 M90:M97 M99:M106 M108:M111 M113:M119">
    <cfRule type="containsText" dxfId="59" priority="2" operator="containsText" text="Non Possédée">
      <formula>NOT(ISERROR(SEARCH("Non Possédée",M27)))</formula>
    </cfRule>
    <cfRule type="containsText" dxfId="58" priority="3" operator="containsText" text="Assiégée">
      <formula>NOT(ISERROR(SEARCH("Assiégée",M27)))</formula>
    </cfRule>
    <cfRule type="containsText" dxfId="57" priority="4" operator="containsText" text="Possédée">
      <formula>NOT(ISERROR(SEARCH("Possédée",M27)))</formula>
    </cfRule>
  </conditionalFormatting>
  <conditionalFormatting sqref="N27:N34 N36:N43 N45:N53 N63:N70 N72:N79 N81:N88 N90:N97 N99:N106 N108:N111 N113:N119 N55:N61">
    <cfRule type="cellIs" dxfId="56" priority="1" operator="greaterThan">
      <formula>0</formula>
    </cfRule>
  </conditionalFormatting>
  <dataValidations count="4">
    <dataValidation type="list" allowBlank="1" showInputMessage="1" showErrorMessage="1" sqref="E6">
      <formula1>Provinces</formula1>
    </dataValidation>
    <dataValidation type="list" allowBlank="1" showInputMessage="1" showErrorMessage="1" sqref="M99:M106 M27:M34 M36:M43 M45:M53 M55:M61 M63:M70 M72:M79 M81:M88 M90:M97 M108:M111 M113:M119">
      <formula1>"Possédée,Assiégée,Non Possédée"</formula1>
    </dataValidation>
    <dataValidation type="list" allowBlank="1" showInputMessage="1" showErrorMessage="1" sqref="N108:N111 N27:N34 N36:N43 N113:N119 N45:N53 N63:N70 N72:N79 N81:N88 N90:N97 N99:N106 N55:N61">
      <formula1>Malus</formula1>
    </dataValidation>
    <dataValidation type="list" errorStyle="information" allowBlank="1" showInputMessage="1" showErrorMessage="1" sqref="D8 E7">
      <formula1>Année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8"/>
  <sheetViews>
    <sheetView workbookViewId="0">
      <selection activeCell="M23" sqref="M23"/>
    </sheetView>
  </sheetViews>
  <sheetFormatPr baseColWidth="10" defaultRowHeight="15" x14ac:dyDescent="0.25"/>
  <cols>
    <col min="1" max="1" width="21" customWidth="1"/>
    <col min="2" max="2" width="6.28515625" customWidth="1"/>
    <col min="13" max="13" width="13.85546875" customWidth="1"/>
    <col min="14" max="14" width="9.85546875" customWidth="1"/>
    <col min="15" max="15" width="10.140625" customWidth="1"/>
    <col min="16" max="16" width="12" customWidth="1"/>
    <col min="17" max="17" width="17.28515625" customWidth="1"/>
  </cols>
  <sheetData>
    <row r="1" spans="1:17" ht="21" x14ac:dyDescent="0.35">
      <c r="A1" s="2" t="s">
        <v>170</v>
      </c>
      <c r="B1" s="1"/>
    </row>
    <row r="3" spans="1:17" x14ac:dyDescent="0.25">
      <c r="A3" t="s">
        <v>141</v>
      </c>
    </row>
    <row r="4" spans="1:17" x14ac:dyDescent="0.25">
      <c r="A4" t="s">
        <v>220</v>
      </c>
    </row>
    <row r="6" spans="1:17" x14ac:dyDescent="0.25">
      <c r="A6" s="94" t="s">
        <v>148</v>
      </c>
      <c r="B6" s="95"/>
      <c r="C6" s="59" t="s">
        <v>149</v>
      </c>
      <c r="E6" s="156" t="s">
        <v>49</v>
      </c>
      <c r="F6" s="157"/>
      <c r="G6" s="158"/>
      <c r="H6" s="164" t="s">
        <v>207</v>
      </c>
      <c r="I6" s="165"/>
      <c r="J6" s="165"/>
      <c r="K6" s="163"/>
      <c r="L6" s="139">
        <v>8</v>
      </c>
      <c r="O6" s="137" t="s">
        <v>206</v>
      </c>
      <c r="Q6" s="97"/>
    </row>
    <row r="7" spans="1:17" x14ac:dyDescent="0.25">
      <c r="A7" s="98" t="s">
        <v>150</v>
      </c>
      <c r="B7" s="96"/>
      <c r="C7" s="166" t="s">
        <v>151</v>
      </c>
      <c r="D7" s="167"/>
      <c r="E7" s="138" t="s">
        <v>178</v>
      </c>
      <c r="F7" s="97"/>
      <c r="H7" s="162" t="s">
        <v>152</v>
      </c>
      <c r="I7" s="162"/>
      <c r="J7" s="162"/>
      <c r="K7" s="163"/>
      <c r="L7" s="140">
        <f>1-(COUNTIF(C13:L13,"Oui" )/10)</f>
        <v>0</v>
      </c>
      <c r="O7" s="153" t="s">
        <v>221</v>
      </c>
      <c r="P7" s="97"/>
      <c r="Q7" s="97"/>
    </row>
    <row r="8" spans="1:17" ht="15.75" thickBot="1" x14ac:dyDescent="0.3">
      <c r="A8" s="98"/>
      <c r="B8" s="96"/>
      <c r="H8" t="s">
        <v>208</v>
      </c>
      <c r="L8" s="152">
        <f>O119</f>
        <v>270000</v>
      </c>
      <c r="P8" s="97"/>
      <c r="Q8" s="97"/>
    </row>
    <row r="9" spans="1:17" ht="15.75" thickBot="1" x14ac:dyDescent="0.3">
      <c r="A9" s="97"/>
      <c r="B9" s="97"/>
      <c r="C9" s="100" t="s">
        <v>8</v>
      </c>
      <c r="D9" s="101" t="s">
        <v>9</v>
      </c>
      <c r="E9" s="101" t="s">
        <v>10</v>
      </c>
      <c r="F9" s="101" t="s">
        <v>137</v>
      </c>
      <c r="G9" s="101" t="s">
        <v>11</v>
      </c>
      <c r="H9" s="101" t="s">
        <v>138</v>
      </c>
      <c r="I9" s="101" t="s">
        <v>139</v>
      </c>
      <c r="J9" s="101" t="s">
        <v>12</v>
      </c>
      <c r="K9" s="101" t="s">
        <v>13</v>
      </c>
      <c r="L9" s="102" t="s">
        <v>105</v>
      </c>
    </row>
    <row r="10" spans="1:17" x14ac:dyDescent="0.25">
      <c r="A10" s="103" t="s">
        <v>153</v>
      </c>
      <c r="B10" s="97"/>
      <c r="C10" s="136">
        <v>120</v>
      </c>
      <c r="D10" s="104">
        <v>120</v>
      </c>
      <c r="E10" s="104">
        <v>120</v>
      </c>
      <c r="F10" s="104">
        <v>120</v>
      </c>
      <c r="G10" s="104">
        <v>120</v>
      </c>
      <c r="H10" s="104">
        <v>120</v>
      </c>
      <c r="I10" s="104">
        <v>120</v>
      </c>
      <c r="J10" s="104">
        <v>120</v>
      </c>
      <c r="K10" s="104">
        <v>120</v>
      </c>
      <c r="L10" s="135">
        <v>120</v>
      </c>
    </row>
    <row r="11" spans="1:17" x14ac:dyDescent="0.25">
      <c r="A11" s="103" t="s">
        <v>154</v>
      </c>
      <c r="B11" s="97"/>
      <c r="C11" s="105">
        <f>15*L6</f>
        <v>120</v>
      </c>
      <c r="D11" s="105">
        <f>15*L6</f>
        <v>120</v>
      </c>
      <c r="E11" s="105">
        <f>15*L6</f>
        <v>120</v>
      </c>
      <c r="F11" s="105">
        <f>15*L6</f>
        <v>120</v>
      </c>
      <c r="G11" s="105">
        <f>15*L6</f>
        <v>120</v>
      </c>
      <c r="H11" s="105">
        <f>15*L6</f>
        <v>120</v>
      </c>
      <c r="I11" s="105">
        <f>15*L6</f>
        <v>120</v>
      </c>
      <c r="J11" s="105">
        <f>15*L6</f>
        <v>120</v>
      </c>
      <c r="K11" s="105">
        <f>15*L6</f>
        <v>120</v>
      </c>
      <c r="L11" s="105">
        <f>15*L6</f>
        <v>120</v>
      </c>
    </row>
    <row r="12" spans="1:17" x14ac:dyDescent="0.25">
      <c r="A12" s="103" t="s">
        <v>155</v>
      </c>
      <c r="B12" s="97"/>
      <c r="C12" s="106">
        <f>C119</f>
        <v>0</v>
      </c>
      <c r="D12" s="106">
        <f>D119</f>
        <v>0</v>
      </c>
      <c r="E12" s="106">
        <f t="shared" ref="E12:L12" si="0">E119</f>
        <v>240</v>
      </c>
      <c r="F12" s="106">
        <f t="shared" si="0"/>
        <v>430</v>
      </c>
      <c r="G12" s="106">
        <f t="shared" si="0"/>
        <v>100</v>
      </c>
      <c r="H12" s="106">
        <f t="shared" si="0"/>
        <v>0</v>
      </c>
      <c r="I12" s="106">
        <f t="shared" si="0"/>
        <v>150</v>
      </c>
      <c r="J12" s="106">
        <f t="shared" si="0"/>
        <v>330</v>
      </c>
      <c r="K12" s="106">
        <f t="shared" si="0"/>
        <v>150</v>
      </c>
      <c r="L12" s="106">
        <f t="shared" si="0"/>
        <v>0</v>
      </c>
    </row>
    <row r="13" spans="1:17" x14ac:dyDescent="0.25">
      <c r="A13" s="88" t="s">
        <v>156</v>
      </c>
      <c r="B13" s="97"/>
      <c r="C13" s="107" t="str">
        <f>IF((C10-C11) &gt;= 0,"Oui","Non")</f>
        <v>Oui</v>
      </c>
      <c r="D13" s="107" t="str">
        <f t="shared" ref="D13:L13" si="1">IF((D10-D11) &gt;= 0,"Oui","Non")</f>
        <v>Oui</v>
      </c>
      <c r="E13" s="107" t="str">
        <f t="shared" si="1"/>
        <v>Oui</v>
      </c>
      <c r="F13" s="107" t="str">
        <f t="shared" si="1"/>
        <v>Oui</v>
      </c>
      <c r="G13" s="107" t="str">
        <f t="shared" si="1"/>
        <v>Oui</v>
      </c>
      <c r="H13" s="107" t="str">
        <f t="shared" si="1"/>
        <v>Oui</v>
      </c>
      <c r="I13" s="107" t="str">
        <f t="shared" si="1"/>
        <v>Oui</v>
      </c>
      <c r="J13" s="107" t="str">
        <f t="shared" si="1"/>
        <v>Oui</v>
      </c>
      <c r="K13" s="107" t="str">
        <f t="shared" si="1"/>
        <v>Oui</v>
      </c>
      <c r="L13" s="107" t="str">
        <f t="shared" si="1"/>
        <v>Oui</v>
      </c>
    </row>
    <row r="14" spans="1:17" x14ac:dyDescent="0.25">
      <c r="A14" s="103" t="s">
        <v>157</v>
      </c>
      <c r="B14" s="97"/>
      <c r="C14" s="108">
        <f>IF(C13="OUI",C10-C11+C12,C10+C12)</f>
        <v>0</v>
      </c>
      <c r="D14" s="108">
        <f>IF(D13="OUI",D10-D11+D12,D10+D12)</f>
        <v>0</v>
      </c>
      <c r="E14" s="108">
        <f t="shared" ref="E14:L14" si="2">IF(E13="OUI",E10-E11+E12,E10+E12)</f>
        <v>240</v>
      </c>
      <c r="F14" s="108">
        <f t="shared" si="2"/>
        <v>430</v>
      </c>
      <c r="G14" s="108">
        <f t="shared" si="2"/>
        <v>100</v>
      </c>
      <c r="H14" s="108">
        <f t="shared" si="2"/>
        <v>0</v>
      </c>
      <c r="I14" s="108">
        <f t="shared" si="2"/>
        <v>150</v>
      </c>
      <c r="J14" s="108">
        <f t="shared" si="2"/>
        <v>330</v>
      </c>
      <c r="K14" s="108">
        <f t="shared" si="2"/>
        <v>150</v>
      </c>
      <c r="L14" s="108">
        <f t="shared" si="2"/>
        <v>0</v>
      </c>
    </row>
    <row r="15" spans="1:17" x14ac:dyDescent="0.25">
      <c r="A15" s="103" t="s">
        <v>162</v>
      </c>
      <c r="B15" s="97"/>
      <c r="C15" s="142">
        <v>120</v>
      </c>
      <c r="D15" s="142">
        <v>50</v>
      </c>
      <c r="E15" s="142"/>
      <c r="F15" s="142"/>
      <c r="G15" s="142">
        <v>20</v>
      </c>
      <c r="H15" s="142">
        <v>80</v>
      </c>
      <c r="I15" s="142"/>
      <c r="J15" s="142"/>
      <c r="K15" s="142"/>
      <c r="L15" s="142">
        <v>60</v>
      </c>
    </row>
    <row r="16" spans="1:17" x14ac:dyDescent="0.25">
      <c r="A16" s="103" t="s">
        <v>165</v>
      </c>
      <c r="B16" s="97"/>
      <c r="C16" s="142"/>
      <c r="D16" s="142"/>
      <c r="E16" s="142"/>
      <c r="F16" s="142"/>
      <c r="G16" s="142"/>
      <c r="H16" s="142"/>
      <c r="I16" s="142"/>
      <c r="J16" s="142"/>
      <c r="K16" s="142"/>
      <c r="L16" s="142"/>
    </row>
    <row r="17" spans="1:17" x14ac:dyDescent="0.25">
      <c r="A17" s="103" t="s">
        <v>163</v>
      </c>
      <c r="B17" s="97"/>
      <c r="C17" s="141"/>
      <c r="D17" s="141"/>
      <c r="E17" s="141"/>
      <c r="F17" s="141">
        <v>200</v>
      </c>
      <c r="G17" s="141"/>
      <c r="H17" s="141"/>
      <c r="I17" s="141"/>
      <c r="J17" s="141"/>
      <c r="K17" s="141"/>
      <c r="L17" s="141"/>
    </row>
    <row r="18" spans="1:17" x14ac:dyDescent="0.25">
      <c r="A18" s="103" t="s">
        <v>164</v>
      </c>
      <c r="B18" s="97"/>
      <c r="C18" s="141"/>
      <c r="D18" s="141"/>
      <c r="E18" s="141"/>
      <c r="F18" s="141"/>
      <c r="G18" s="141"/>
      <c r="H18" s="141"/>
      <c r="I18" s="141"/>
      <c r="J18" s="141"/>
      <c r="K18" s="141"/>
      <c r="L18" s="141"/>
    </row>
    <row r="19" spans="1:17" x14ac:dyDescent="0.25">
      <c r="A19" s="109" t="s">
        <v>158</v>
      </c>
      <c r="B19" s="97"/>
      <c r="C19" s="110">
        <f>C14+C15+C16-C17-C18</f>
        <v>120</v>
      </c>
      <c r="D19" s="110">
        <f>D14+D15+D16-D17-D18</f>
        <v>50</v>
      </c>
      <c r="E19" s="110">
        <f t="shared" ref="E19:K19" si="3">E14+E15+E16-E17-E18</f>
        <v>240</v>
      </c>
      <c r="F19" s="110">
        <f>F14+F15+F16-F17-F18</f>
        <v>230</v>
      </c>
      <c r="G19" s="110">
        <f t="shared" si="3"/>
        <v>120</v>
      </c>
      <c r="H19" s="110">
        <f t="shared" si="3"/>
        <v>80</v>
      </c>
      <c r="I19" s="110">
        <f t="shared" si="3"/>
        <v>150</v>
      </c>
      <c r="J19" s="110">
        <f t="shared" si="3"/>
        <v>330</v>
      </c>
      <c r="K19" s="110">
        <f t="shared" si="3"/>
        <v>150</v>
      </c>
      <c r="L19" s="110">
        <f>L14+L15+L16-L17-L18</f>
        <v>60</v>
      </c>
    </row>
    <row r="20" spans="1:17" x14ac:dyDescent="0.25">
      <c r="A20" s="103" t="s">
        <v>161</v>
      </c>
      <c r="B20" s="97"/>
      <c r="C20" s="111">
        <f>(COUNTIF(M27:M111,"Possédée")+COUNTIF(M27:M111,"Assiégée"))*15</f>
        <v>120</v>
      </c>
      <c r="D20" s="111">
        <f>(COUNTIF(M27:M111,"Possédée")+COUNTIF(M27:M111,"Assiégée"))*15</f>
        <v>120</v>
      </c>
      <c r="E20" s="111">
        <f>(COUNTIF(M27:M111,"Possédée")+COUNTIF(M27:M111,"Assiégée"))*15</f>
        <v>120</v>
      </c>
      <c r="F20" s="111">
        <f>(COUNTIF(M27:M111,"Possédée")+COUNTIF(M27:M111,"Assiégée"))*15</f>
        <v>120</v>
      </c>
      <c r="G20" s="111">
        <f>(COUNTIF(M27:M111,"Possédée")+COUNTIF(M27:M111,"Assiégée"))*15</f>
        <v>120</v>
      </c>
      <c r="H20" s="111">
        <f>(COUNTIF(M27:M111,"Possédée")+COUNTIF(M27:M111,"Assiégée"))*15</f>
        <v>120</v>
      </c>
      <c r="I20" s="111">
        <f>(COUNTIF(M27:M111,"Possédée")+COUNTIF(M27:M111,"Assiégée"))*15</f>
        <v>120</v>
      </c>
      <c r="J20" s="111">
        <f>(COUNTIF(M27:M111,"Possédée")+COUNTIF(M27:M111,"Assiégée"))*15</f>
        <v>120</v>
      </c>
      <c r="K20" s="111">
        <f>(COUNTIF(M27:M111,"Possédée")+COUNTIF(M27:M111,"Assiégée"))*15</f>
        <v>120</v>
      </c>
      <c r="L20" s="111">
        <f>(COUNTIF(M27:M111,"Possédée")+COUNTIF(M27:M111,"Assiégée"))*15</f>
        <v>120</v>
      </c>
    </row>
    <row r="21" spans="1:17" x14ac:dyDescent="0.25">
      <c r="A21" s="103" t="s">
        <v>159</v>
      </c>
      <c r="B21" s="97"/>
      <c r="C21" s="112">
        <f>C19-C20</f>
        <v>0</v>
      </c>
      <c r="D21" s="112">
        <f t="shared" ref="D21:L21" si="4">D19-D20</f>
        <v>-70</v>
      </c>
      <c r="E21" s="112">
        <f>E19-E20</f>
        <v>120</v>
      </c>
      <c r="F21" s="112">
        <f>F19-F20</f>
        <v>110</v>
      </c>
      <c r="G21" s="112">
        <f t="shared" si="4"/>
        <v>0</v>
      </c>
      <c r="H21" s="112">
        <f t="shared" si="4"/>
        <v>-40</v>
      </c>
      <c r="I21" s="112">
        <f t="shared" si="4"/>
        <v>30</v>
      </c>
      <c r="J21" s="112">
        <f t="shared" si="4"/>
        <v>210</v>
      </c>
      <c r="K21" s="112">
        <f t="shared" si="4"/>
        <v>30</v>
      </c>
      <c r="L21" s="112">
        <f t="shared" si="4"/>
        <v>-60</v>
      </c>
    </row>
    <row r="22" spans="1:17" x14ac:dyDescent="0.25">
      <c r="A22" s="103"/>
      <c r="B22" s="97"/>
    </row>
    <row r="23" spans="1:17" x14ac:dyDescent="0.25">
      <c r="O23" s="99" t="s">
        <v>176</v>
      </c>
    </row>
    <row r="24" spans="1:17" ht="15.75" thickBot="1" x14ac:dyDescent="0.3">
      <c r="A24" s="114" t="s">
        <v>160</v>
      </c>
      <c r="H24" s="97"/>
      <c r="I24" s="97"/>
      <c r="J24" s="97"/>
    </row>
    <row r="25" spans="1:17" ht="15.75" thickBot="1" x14ac:dyDescent="0.3">
      <c r="A25" s="121" t="s">
        <v>168</v>
      </c>
      <c r="B25" s="75" t="s">
        <v>167</v>
      </c>
      <c r="C25" s="159" t="s">
        <v>169</v>
      </c>
      <c r="D25" s="160"/>
      <c r="E25" s="160"/>
      <c r="F25" s="160"/>
      <c r="G25" s="160"/>
      <c r="H25" s="160"/>
      <c r="I25" s="160"/>
      <c r="J25" s="160"/>
      <c r="K25" s="160"/>
      <c r="L25" s="161"/>
      <c r="M25" s="129" t="s">
        <v>171</v>
      </c>
      <c r="N25" s="115" t="s">
        <v>172</v>
      </c>
      <c r="O25" s="129" t="s">
        <v>213</v>
      </c>
      <c r="P25" s="154" t="s">
        <v>203</v>
      </c>
      <c r="Q25" s="155"/>
    </row>
    <row r="26" spans="1:17" ht="15.75" thickBot="1" x14ac:dyDescent="0.3">
      <c r="A26" s="3" t="s">
        <v>22</v>
      </c>
      <c r="B26" s="120" t="s">
        <v>166</v>
      </c>
      <c r="C26" s="91" t="s">
        <v>8</v>
      </c>
      <c r="D26" s="92" t="s">
        <v>9</v>
      </c>
      <c r="E26" s="92" t="s">
        <v>10</v>
      </c>
      <c r="F26" s="92" t="s">
        <v>137</v>
      </c>
      <c r="G26" s="92" t="s">
        <v>11</v>
      </c>
      <c r="H26" s="92" t="s">
        <v>138</v>
      </c>
      <c r="I26" s="92" t="s">
        <v>139</v>
      </c>
      <c r="J26" s="92" t="s">
        <v>12</v>
      </c>
      <c r="K26" s="92" t="s">
        <v>13</v>
      </c>
      <c r="L26" s="93" t="s">
        <v>105</v>
      </c>
      <c r="M26" s="130" t="s">
        <v>175</v>
      </c>
      <c r="N26" s="118" t="s">
        <v>177</v>
      </c>
      <c r="O26" s="130" t="s">
        <v>214</v>
      </c>
      <c r="P26" s="147" t="s">
        <v>204</v>
      </c>
      <c r="Q26" s="148" t="s">
        <v>205</v>
      </c>
    </row>
    <row r="27" spans="1:17" x14ac:dyDescent="0.25">
      <c r="A27" t="s">
        <v>0</v>
      </c>
      <c r="B27" s="115">
        <v>15</v>
      </c>
      <c r="C27" s="15"/>
      <c r="D27" s="15"/>
      <c r="E27" s="15"/>
      <c r="F27" s="15"/>
      <c r="G27" s="15"/>
      <c r="H27" s="15"/>
      <c r="I27" s="15">
        <f>TRUNC(90*Q27*(1-L7)*(1-N27))</f>
        <v>0</v>
      </c>
      <c r="J27" s="15"/>
      <c r="K27" s="15"/>
      <c r="L27" s="16">
        <f>TRUNC(120*Q27*(1-L7)*(1-N27))</f>
        <v>0</v>
      </c>
      <c r="M27" s="126" t="s">
        <v>173</v>
      </c>
      <c r="N27" s="123">
        <v>0</v>
      </c>
      <c r="O27" s="149">
        <f>IF(E$6="Archipel de l'Automne",60000*Q27*(1-L$7)*(1-N27),30000*Q27*(1-L$7)*(1-N27))</f>
        <v>0</v>
      </c>
      <c r="P27" s="143">
        <f>IF(OR(M27="Possédée",M27="Assiégée"),B27,0)</f>
        <v>0</v>
      </c>
      <c r="Q27" s="144">
        <f>IF(M27="Possédée",1,IF(M27="Assiégée",0.5,0))</f>
        <v>0</v>
      </c>
    </row>
    <row r="28" spans="1:17" x14ac:dyDescent="0.25">
      <c r="A28" t="s">
        <v>1</v>
      </c>
      <c r="B28" s="116">
        <v>15</v>
      </c>
      <c r="C28" s="17"/>
      <c r="D28" s="17"/>
      <c r="E28" s="17"/>
      <c r="F28" s="17"/>
      <c r="G28" s="17">
        <f>TRUNC(30*Q28*(1-L7)*(1-N28))</f>
        <v>0</v>
      </c>
      <c r="H28" s="17"/>
      <c r="I28" s="17"/>
      <c r="J28" s="17"/>
      <c r="K28" s="17"/>
      <c r="L28" s="18">
        <f>TRUNC(140*Q28*(1-L7)*(1-N28))</f>
        <v>0</v>
      </c>
      <c r="M28" s="127" t="s">
        <v>173</v>
      </c>
      <c r="N28" s="124">
        <v>0</v>
      </c>
      <c r="O28" s="150">
        <f>30000*Q28*(1-L$7)*(1-N28)</f>
        <v>0</v>
      </c>
      <c r="P28" s="145">
        <f>IF(OR(M28="Possédée",M28="Assiégée"),B28,0)</f>
        <v>0</v>
      </c>
      <c r="Q28" s="146">
        <f t="shared" ref="Q28:Q91" si="5">IF(M28="Possédée",1,IF(M28="Assiégée",0.5,0))</f>
        <v>0</v>
      </c>
    </row>
    <row r="29" spans="1:17" x14ac:dyDescent="0.25">
      <c r="A29" t="s">
        <v>2</v>
      </c>
      <c r="B29" s="116">
        <v>15</v>
      </c>
      <c r="C29" s="17">
        <f>TRUNC(60*Q29*(1-L7)*(1-N29))</f>
        <v>0</v>
      </c>
      <c r="D29" s="17"/>
      <c r="E29" s="17"/>
      <c r="F29" s="17"/>
      <c r="G29" s="17"/>
      <c r="H29" s="17"/>
      <c r="I29" s="17">
        <f>TRUNC(110*Q29*(1-L7)*(1-N29))</f>
        <v>0</v>
      </c>
      <c r="J29" s="17"/>
      <c r="K29" s="17"/>
      <c r="L29" s="18"/>
      <c r="M29" s="127" t="s">
        <v>173</v>
      </c>
      <c r="N29" s="124">
        <v>0</v>
      </c>
      <c r="O29" s="150">
        <f t="shared" ref="O29:O34" si="6">30000*Q29*(1-L$7)*(1-N29)</f>
        <v>0</v>
      </c>
      <c r="P29" s="145">
        <f t="shared" ref="P29:P92" si="7">IF(OR(M29="Possédée",M29="Assiégée"),B29,0)</f>
        <v>0</v>
      </c>
      <c r="Q29" s="146">
        <f t="shared" si="5"/>
        <v>0</v>
      </c>
    </row>
    <row r="30" spans="1:17" x14ac:dyDescent="0.25">
      <c r="A30" t="s">
        <v>3</v>
      </c>
      <c r="B30" s="116">
        <v>15</v>
      </c>
      <c r="C30" s="17">
        <f>TRUNC(40*Q30*(1-L7)*(1-N30))</f>
        <v>0</v>
      </c>
      <c r="D30" s="17"/>
      <c r="E30" s="17"/>
      <c r="F30" s="17"/>
      <c r="G30" s="17"/>
      <c r="H30" s="17"/>
      <c r="I30" s="17">
        <f>TRUNC(60*Q30*(1-L7)*(1-N30))</f>
        <v>0</v>
      </c>
      <c r="J30" s="17"/>
      <c r="K30" s="17">
        <f>TRUNC(70*Q30*(1-L7)*(1-N30))</f>
        <v>0</v>
      </c>
      <c r="L30" s="18"/>
      <c r="M30" s="127" t="s">
        <v>173</v>
      </c>
      <c r="N30" s="124">
        <v>0</v>
      </c>
      <c r="O30" s="150">
        <f t="shared" si="6"/>
        <v>0</v>
      </c>
      <c r="P30" s="145">
        <f t="shared" si="7"/>
        <v>0</v>
      </c>
      <c r="Q30" s="146">
        <f t="shared" si="5"/>
        <v>0</v>
      </c>
    </row>
    <row r="31" spans="1:17" x14ac:dyDescent="0.25">
      <c r="A31" t="s">
        <v>4</v>
      </c>
      <c r="B31" s="116">
        <v>15</v>
      </c>
      <c r="C31" s="17"/>
      <c r="D31" s="17"/>
      <c r="E31" s="17"/>
      <c r="F31" s="17"/>
      <c r="G31" s="17"/>
      <c r="H31" s="17"/>
      <c r="I31" s="17">
        <f>TRUNC(80*Q31*(1-L7)*(1-N31))</f>
        <v>0</v>
      </c>
      <c r="J31" s="17"/>
      <c r="K31" s="17"/>
      <c r="L31" s="18">
        <f>TRUNC(90*Q31*(1-L7)*(1-N31))</f>
        <v>0</v>
      </c>
      <c r="M31" s="127" t="s">
        <v>173</v>
      </c>
      <c r="N31" s="124">
        <v>0</v>
      </c>
      <c r="O31" s="150">
        <f t="shared" si="6"/>
        <v>0</v>
      </c>
      <c r="P31" s="145">
        <f t="shared" si="7"/>
        <v>0</v>
      </c>
      <c r="Q31" s="146">
        <f t="shared" si="5"/>
        <v>0</v>
      </c>
    </row>
    <row r="32" spans="1:17" x14ac:dyDescent="0.25">
      <c r="A32" t="s">
        <v>5</v>
      </c>
      <c r="B32" s="116">
        <v>15</v>
      </c>
      <c r="C32" s="17"/>
      <c r="D32" s="17"/>
      <c r="E32" s="17"/>
      <c r="F32" s="17"/>
      <c r="G32" s="17"/>
      <c r="H32" s="17"/>
      <c r="I32" s="17"/>
      <c r="J32" s="17"/>
      <c r="K32" s="17">
        <f>TRUNC(170*Q32*(1-L7)*(1-N32))</f>
        <v>0</v>
      </c>
      <c r="L32" s="18"/>
      <c r="M32" s="127" t="s">
        <v>173</v>
      </c>
      <c r="N32" s="124">
        <v>0</v>
      </c>
      <c r="O32" s="150">
        <f t="shared" si="6"/>
        <v>0</v>
      </c>
      <c r="P32" s="145">
        <f t="shared" si="7"/>
        <v>0</v>
      </c>
      <c r="Q32" s="146">
        <f t="shared" si="5"/>
        <v>0</v>
      </c>
    </row>
    <row r="33" spans="1:17" x14ac:dyDescent="0.25">
      <c r="A33" t="s">
        <v>6</v>
      </c>
      <c r="B33" s="116">
        <v>15</v>
      </c>
      <c r="C33" s="17">
        <f>TRUNC(40*Q33*(1-L7)*(1-N33))</f>
        <v>0</v>
      </c>
      <c r="D33" s="17"/>
      <c r="E33" s="17"/>
      <c r="F33" s="17">
        <f>TRUNC(130*Q33*(1-L7)*(1-N33))</f>
        <v>0</v>
      </c>
      <c r="G33" s="17"/>
      <c r="H33" s="17"/>
      <c r="I33" s="17"/>
      <c r="J33" s="17"/>
      <c r="K33" s="17"/>
      <c r="L33" s="18"/>
      <c r="M33" s="127" t="s">
        <v>173</v>
      </c>
      <c r="N33" s="124">
        <v>0</v>
      </c>
      <c r="O33" s="150">
        <f t="shared" si="6"/>
        <v>0</v>
      </c>
      <c r="P33" s="145">
        <f t="shared" si="7"/>
        <v>0</v>
      </c>
      <c r="Q33" s="146">
        <f t="shared" si="5"/>
        <v>0</v>
      </c>
    </row>
    <row r="34" spans="1:17" ht="15.75" thickBot="1" x14ac:dyDescent="0.3">
      <c r="A34" t="s">
        <v>7</v>
      </c>
      <c r="B34" s="116">
        <v>15</v>
      </c>
      <c r="C34" s="17"/>
      <c r="D34" s="17">
        <f>TRUNC(70*Q34*(1-L7)*(1-N34))</f>
        <v>0</v>
      </c>
      <c r="E34" s="17"/>
      <c r="F34" s="17"/>
      <c r="G34" s="17"/>
      <c r="H34" s="17"/>
      <c r="I34" s="17"/>
      <c r="J34" s="17"/>
      <c r="K34" s="17"/>
      <c r="L34" s="18">
        <f>TRUNC(100*Q34*(1-L7)*(1-N34))</f>
        <v>0</v>
      </c>
      <c r="M34" s="127" t="s">
        <v>173</v>
      </c>
      <c r="N34" s="124">
        <v>0</v>
      </c>
      <c r="O34" s="150">
        <f t="shared" si="6"/>
        <v>0</v>
      </c>
      <c r="P34" s="145">
        <f>IF(OR(M34="Possédée",M34="Assiégée"),B34,0)</f>
        <v>0</v>
      </c>
      <c r="Q34" s="146">
        <f t="shared" si="5"/>
        <v>0</v>
      </c>
    </row>
    <row r="35" spans="1:17" ht="15.75" thickBot="1" x14ac:dyDescent="0.3">
      <c r="A35" s="10" t="s">
        <v>23</v>
      </c>
      <c r="B35" s="117" t="s">
        <v>166</v>
      </c>
      <c r="C35" s="91" t="s">
        <v>8</v>
      </c>
      <c r="D35" s="92" t="s">
        <v>9</v>
      </c>
      <c r="E35" s="92" t="s">
        <v>10</v>
      </c>
      <c r="F35" s="92" t="s">
        <v>137</v>
      </c>
      <c r="G35" s="92" t="s">
        <v>11</v>
      </c>
      <c r="H35" s="92" t="s">
        <v>138</v>
      </c>
      <c r="I35" s="92" t="s">
        <v>139</v>
      </c>
      <c r="J35" s="92" t="s">
        <v>12</v>
      </c>
      <c r="K35" s="92" t="s">
        <v>13</v>
      </c>
      <c r="L35" s="93" t="s">
        <v>105</v>
      </c>
      <c r="M35" s="93"/>
      <c r="N35" s="93"/>
      <c r="O35" s="151"/>
      <c r="P35" s="147"/>
      <c r="Q35" s="148"/>
    </row>
    <row r="36" spans="1:17" x14ac:dyDescent="0.25">
      <c r="A36" t="s">
        <v>14</v>
      </c>
      <c r="B36" s="115">
        <v>15</v>
      </c>
      <c r="C36" s="19"/>
      <c r="D36" s="17"/>
      <c r="E36" s="17">
        <f>TRUNC(60*Q36*(1-L7)*(1-N36))</f>
        <v>0</v>
      </c>
      <c r="F36" s="17"/>
      <c r="G36" s="17">
        <f>TRUNC(150*Q36*(1-L7)*(1-N36))</f>
        <v>0</v>
      </c>
      <c r="H36" s="17"/>
      <c r="I36" s="17"/>
      <c r="J36" s="17"/>
      <c r="K36" s="17"/>
      <c r="L36" s="18"/>
      <c r="M36" s="127" t="s">
        <v>173</v>
      </c>
      <c r="N36" s="124">
        <v>0</v>
      </c>
      <c r="O36" s="149">
        <f>IF(E$6="Bordeciel",60000*Q36*(1-L$7)*(1-N36),30000*Q36*(1-L$7)*(1-N36))</f>
        <v>0</v>
      </c>
      <c r="P36" s="145">
        <f t="shared" si="7"/>
        <v>0</v>
      </c>
      <c r="Q36" s="146">
        <f t="shared" si="5"/>
        <v>0</v>
      </c>
    </row>
    <row r="37" spans="1:17" x14ac:dyDescent="0.25">
      <c r="A37" t="s">
        <v>15</v>
      </c>
      <c r="B37" s="116">
        <v>15</v>
      </c>
      <c r="C37" s="19"/>
      <c r="D37" s="17"/>
      <c r="E37" s="17"/>
      <c r="F37" s="17"/>
      <c r="G37" s="17"/>
      <c r="H37" s="17"/>
      <c r="I37" s="17"/>
      <c r="J37" s="17"/>
      <c r="K37" s="17">
        <f>TRUNC(170*Q37*(1-L7)*(1-N37))</f>
        <v>0</v>
      </c>
      <c r="L37" s="18"/>
      <c r="M37" s="127" t="s">
        <v>173</v>
      </c>
      <c r="N37" s="124">
        <v>0</v>
      </c>
      <c r="O37" s="150">
        <f>30000*Q37*(1-L$7)*(1-N37)</f>
        <v>0</v>
      </c>
      <c r="P37" s="145">
        <f t="shared" si="7"/>
        <v>0</v>
      </c>
      <c r="Q37" s="146">
        <f t="shared" si="5"/>
        <v>0</v>
      </c>
    </row>
    <row r="38" spans="1:17" x14ac:dyDescent="0.25">
      <c r="A38" t="s">
        <v>16</v>
      </c>
      <c r="B38" s="116">
        <v>15</v>
      </c>
      <c r="C38" s="19"/>
      <c r="D38" s="17">
        <f>TRUNC(130*Q38*(1-L7)*(1-N38))</f>
        <v>0</v>
      </c>
      <c r="E38" s="17"/>
      <c r="F38" s="17"/>
      <c r="G38" s="17">
        <f>TRUNC(40*Q38*(1-L7)*(1-N38))</f>
        <v>0</v>
      </c>
      <c r="H38" s="17"/>
      <c r="I38" s="17"/>
      <c r="J38" s="17"/>
      <c r="K38" s="17"/>
      <c r="L38" s="18"/>
      <c r="M38" s="127" t="s">
        <v>173</v>
      </c>
      <c r="N38" s="124">
        <v>0</v>
      </c>
      <c r="O38" s="150">
        <f t="shared" ref="O38:O43" si="8">30000*Q38*(1-L$7)*(1-N38)</f>
        <v>0</v>
      </c>
      <c r="P38" s="145">
        <f t="shared" si="7"/>
        <v>0</v>
      </c>
      <c r="Q38" s="146">
        <f t="shared" si="5"/>
        <v>0</v>
      </c>
    </row>
    <row r="39" spans="1:17" x14ac:dyDescent="0.25">
      <c r="A39" t="s">
        <v>17</v>
      </c>
      <c r="B39" s="116">
        <v>15</v>
      </c>
      <c r="C39" s="19">
        <f>TRUNC(70*Q39*(1-L7)*(1-N39))</f>
        <v>0</v>
      </c>
      <c r="D39" s="17">
        <f>TRUNC(60*Q39*(1-L7)*(1-N39))</f>
        <v>0</v>
      </c>
      <c r="E39" s="17">
        <f>TRUNC(40*Q39*(1-L7)*(1-N39))</f>
        <v>0</v>
      </c>
      <c r="F39" s="17"/>
      <c r="G39" s="17"/>
      <c r="H39" s="17"/>
      <c r="I39" s="17"/>
      <c r="J39" s="17"/>
      <c r="K39" s="17"/>
      <c r="L39" s="18"/>
      <c r="M39" s="127" t="s">
        <v>173</v>
      </c>
      <c r="N39" s="124">
        <v>0</v>
      </c>
      <c r="O39" s="150">
        <f t="shared" si="8"/>
        <v>0</v>
      </c>
      <c r="P39" s="145">
        <f t="shared" si="7"/>
        <v>0</v>
      </c>
      <c r="Q39" s="146">
        <f t="shared" si="5"/>
        <v>0</v>
      </c>
    </row>
    <row r="40" spans="1:17" x14ac:dyDescent="0.25">
      <c r="A40" t="s">
        <v>18</v>
      </c>
      <c r="B40" s="116">
        <v>15</v>
      </c>
      <c r="C40" s="19"/>
      <c r="D40" s="17">
        <f>TRUNC(20*Q40*(1-L7)*(1-N40))</f>
        <v>0</v>
      </c>
      <c r="E40" s="17"/>
      <c r="F40" s="17">
        <f>TRUNC(100*Q40*(1-L7)*(1-N40))</f>
        <v>0</v>
      </c>
      <c r="G40" s="17">
        <f>TRUNC(50*Q40*(1-L7)*(1-N40))</f>
        <v>0</v>
      </c>
      <c r="H40" s="17"/>
      <c r="I40" s="17"/>
      <c r="J40" s="17"/>
      <c r="K40" s="17"/>
      <c r="L40" s="18"/>
      <c r="M40" s="127" t="s">
        <v>173</v>
      </c>
      <c r="N40" s="124">
        <v>0</v>
      </c>
      <c r="O40" s="150">
        <f t="shared" si="8"/>
        <v>0</v>
      </c>
      <c r="P40" s="145">
        <f t="shared" si="7"/>
        <v>0</v>
      </c>
      <c r="Q40" s="146">
        <f t="shared" si="5"/>
        <v>0</v>
      </c>
    </row>
    <row r="41" spans="1:17" x14ac:dyDescent="0.25">
      <c r="A41" t="s">
        <v>19</v>
      </c>
      <c r="B41" s="116">
        <v>15</v>
      </c>
      <c r="C41" s="19"/>
      <c r="D41" s="17"/>
      <c r="E41" s="17"/>
      <c r="F41" s="17"/>
      <c r="G41" s="17">
        <f>TRUNC(170*Q41*(1-L7)*(1-N41))</f>
        <v>0</v>
      </c>
      <c r="H41" s="17"/>
      <c r="I41" s="17"/>
      <c r="J41" s="17"/>
      <c r="K41" s="17"/>
      <c r="L41" s="18"/>
      <c r="M41" s="127" t="s">
        <v>173</v>
      </c>
      <c r="N41" s="124">
        <v>0</v>
      </c>
      <c r="O41" s="150">
        <f t="shared" si="8"/>
        <v>0</v>
      </c>
      <c r="P41" s="145">
        <f t="shared" si="7"/>
        <v>0</v>
      </c>
      <c r="Q41" s="146">
        <f t="shared" si="5"/>
        <v>0</v>
      </c>
    </row>
    <row r="42" spans="1:17" x14ac:dyDescent="0.25">
      <c r="A42" t="s">
        <v>20</v>
      </c>
      <c r="B42" s="116">
        <v>15</v>
      </c>
      <c r="C42" s="19"/>
      <c r="D42" s="17"/>
      <c r="E42" s="17">
        <f>TRUNC(90*Q42*(1-L7)*(1-N42))</f>
        <v>0</v>
      </c>
      <c r="F42" s="17">
        <f>TRUNC(40*Q42*(1-L7)*(1-N42))</f>
        <v>0</v>
      </c>
      <c r="G42" s="17"/>
      <c r="H42" s="17"/>
      <c r="I42" s="17"/>
      <c r="J42" s="17"/>
      <c r="K42" s="17">
        <f>TRUNC(40*Q42*(1-L7)*(1-N42))</f>
        <v>0</v>
      </c>
      <c r="L42" s="18"/>
      <c r="M42" s="127" t="s">
        <v>173</v>
      </c>
      <c r="N42" s="124">
        <v>0</v>
      </c>
      <c r="O42" s="150">
        <f t="shared" si="8"/>
        <v>0</v>
      </c>
      <c r="P42" s="145">
        <f t="shared" si="7"/>
        <v>0</v>
      </c>
      <c r="Q42" s="146">
        <f t="shared" si="5"/>
        <v>0</v>
      </c>
    </row>
    <row r="43" spans="1:17" ht="15.75" thickBot="1" x14ac:dyDescent="0.3">
      <c r="A43" t="s">
        <v>21</v>
      </c>
      <c r="B43" s="116">
        <v>15</v>
      </c>
      <c r="C43" s="19"/>
      <c r="D43" s="17"/>
      <c r="E43" s="17"/>
      <c r="F43" s="17"/>
      <c r="G43" s="17">
        <f>TRUNC(70*Q43*(1-L7)*(1-N43))</f>
        <v>0</v>
      </c>
      <c r="H43" s="17"/>
      <c r="I43" s="17"/>
      <c r="J43" s="17"/>
      <c r="K43" s="17">
        <f>TRUNC(100*Q43*(1-L7)*(1-N43))</f>
        <v>0</v>
      </c>
      <c r="L43" s="18"/>
      <c r="M43" s="127" t="s">
        <v>173</v>
      </c>
      <c r="N43" s="124">
        <v>0</v>
      </c>
      <c r="O43" s="150">
        <f t="shared" si="8"/>
        <v>0</v>
      </c>
      <c r="P43" s="145">
        <f t="shared" si="7"/>
        <v>0</v>
      </c>
      <c r="Q43" s="146">
        <f t="shared" si="5"/>
        <v>0</v>
      </c>
    </row>
    <row r="44" spans="1:17" ht="15.75" thickBot="1" x14ac:dyDescent="0.3">
      <c r="A44" s="3" t="s">
        <v>24</v>
      </c>
      <c r="B44" s="117" t="s">
        <v>166</v>
      </c>
      <c r="C44" s="91" t="s">
        <v>8</v>
      </c>
      <c r="D44" s="92" t="s">
        <v>9</v>
      </c>
      <c r="E44" s="92" t="s">
        <v>10</v>
      </c>
      <c r="F44" s="92" t="s">
        <v>137</v>
      </c>
      <c r="G44" s="92" t="s">
        <v>11</v>
      </c>
      <c r="H44" s="92" t="s">
        <v>138</v>
      </c>
      <c r="I44" s="92" t="s">
        <v>139</v>
      </c>
      <c r="J44" s="92" t="s">
        <v>12</v>
      </c>
      <c r="K44" s="92" t="s">
        <v>13</v>
      </c>
      <c r="L44" s="93" t="s">
        <v>105</v>
      </c>
      <c r="M44" s="93"/>
      <c r="N44" s="93"/>
      <c r="O44" s="151"/>
      <c r="P44" s="147"/>
      <c r="Q44" s="148"/>
    </row>
    <row r="45" spans="1:17" x14ac:dyDescent="0.25">
      <c r="A45" t="s">
        <v>25</v>
      </c>
      <c r="B45" s="115">
        <v>15</v>
      </c>
      <c r="C45" s="15"/>
      <c r="D45" s="15">
        <f>TRUNC(20*Q45*(1-L7)*(1-N45))</f>
        <v>0</v>
      </c>
      <c r="E45" s="15"/>
      <c r="F45" s="15"/>
      <c r="G45" s="15"/>
      <c r="H45" s="15"/>
      <c r="I45" s="15">
        <f>TRUNC(150*Q45*(1-L7)*(1-N45))</f>
        <v>0</v>
      </c>
      <c r="J45" s="15"/>
      <c r="K45" s="15"/>
      <c r="L45" s="16">
        <f>TRUNC(40*Q45*(1-L7)*(1-N45))</f>
        <v>0</v>
      </c>
      <c r="M45" s="127" t="s">
        <v>173</v>
      </c>
      <c r="N45" s="124">
        <v>0</v>
      </c>
      <c r="O45" s="149">
        <f>IF(E$6="Cyrodiil",60000*Q45*(1-L$7)*(1-N45),30000*Q45*(1-L$7)*(1-N45))</f>
        <v>0</v>
      </c>
      <c r="P45" s="145">
        <f t="shared" si="7"/>
        <v>0</v>
      </c>
      <c r="Q45" s="146">
        <f t="shared" si="5"/>
        <v>0</v>
      </c>
    </row>
    <row r="46" spans="1:17" x14ac:dyDescent="0.25">
      <c r="A46" t="s">
        <v>27</v>
      </c>
      <c r="B46" s="116">
        <v>15</v>
      </c>
      <c r="C46" s="17"/>
      <c r="D46" s="17">
        <f>TRUNC(120*Q46*(1-L7)*(1-N46))</f>
        <v>0</v>
      </c>
      <c r="E46" s="17">
        <f>TRUNC(50*Q46*(1-L7)*(1-N46))</f>
        <v>0</v>
      </c>
      <c r="F46" s="17"/>
      <c r="G46" s="17"/>
      <c r="H46" s="17"/>
      <c r="I46" s="17"/>
      <c r="J46" s="17"/>
      <c r="K46" s="17"/>
      <c r="L46" s="18"/>
      <c r="M46" s="127" t="s">
        <v>173</v>
      </c>
      <c r="N46" s="124">
        <v>0</v>
      </c>
      <c r="O46" s="150">
        <f>30000*Q46*(1-L$7)*(1-N46)</f>
        <v>0</v>
      </c>
      <c r="P46" s="145">
        <f t="shared" si="7"/>
        <v>0</v>
      </c>
      <c r="Q46" s="146">
        <f t="shared" si="5"/>
        <v>0</v>
      </c>
    </row>
    <row r="47" spans="1:17" x14ac:dyDescent="0.25">
      <c r="A47" t="s">
        <v>26</v>
      </c>
      <c r="B47" s="116">
        <v>15</v>
      </c>
      <c r="C47" s="17"/>
      <c r="D47" s="17">
        <f>TRUNC(60*Q47*(1-L7)*(1-N47))</f>
        <v>0</v>
      </c>
      <c r="E47" s="17">
        <f>TRUNC(110*Q47*(1-L7)*(1-N47))</f>
        <v>0</v>
      </c>
      <c r="F47" s="17"/>
      <c r="G47" s="17"/>
      <c r="H47" s="17"/>
      <c r="I47" s="17"/>
      <c r="J47" s="17"/>
      <c r="K47" s="17"/>
      <c r="L47" s="18"/>
      <c r="M47" s="127" t="s">
        <v>173</v>
      </c>
      <c r="N47" s="124">
        <v>0</v>
      </c>
      <c r="O47" s="150">
        <f>30000*Q47*(1-L$7)*(1-N47)</f>
        <v>0</v>
      </c>
      <c r="P47" s="145">
        <f t="shared" si="7"/>
        <v>0</v>
      </c>
      <c r="Q47" s="146">
        <f t="shared" si="5"/>
        <v>0</v>
      </c>
    </row>
    <row r="48" spans="1:17" x14ac:dyDescent="0.25">
      <c r="A48" t="s">
        <v>28</v>
      </c>
      <c r="B48" s="116">
        <v>15</v>
      </c>
      <c r="C48" s="17"/>
      <c r="D48" s="17">
        <f>TRUNC(170*Q48*(1-L7)*(1-N48))</f>
        <v>0</v>
      </c>
      <c r="E48" s="17"/>
      <c r="F48" s="17"/>
      <c r="G48" s="17"/>
      <c r="H48" s="17"/>
      <c r="I48" s="17"/>
      <c r="J48" s="17"/>
      <c r="K48" s="17"/>
      <c r="L48" s="18"/>
      <c r="M48" s="127" t="s">
        <v>173</v>
      </c>
      <c r="N48" s="124">
        <v>0</v>
      </c>
      <c r="O48" s="150">
        <f t="shared" ref="O48:O53" si="9">30000*Q48*(1-L$7)*(1-N48)</f>
        <v>0</v>
      </c>
      <c r="P48" s="145">
        <f t="shared" si="7"/>
        <v>0</v>
      </c>
      <c r="Q48" s="146">
        <f t="shared" si="5"/>
        <v>0</v>
      </c>
    </row>
    <row r="49" spans="1:17" x14ac:dyDescent="0.25">
      <c r="A49" t="s">
        <v>29</v>
      </c>
      <c r="B49" s="116">
        <v>15</v>
      </c>
      <c r="C49" s="17"/>
      <c r="D49" s="17"/>
      <c r="E49" s="17"/>
      <c r="F49" s="17"/>
      <c r="G49" s="17"/>
      <c r="H49" s="17"/>
      <c r="I49" s="17"/>
      <c r="J49" s="17">
        <f>TRUNC(170*Q49*(1-L7)*(1-N49))</f>
        <v>0</v>
      </c>
      <c r="K49" s="17"/>
      <c r="L49" s="18"/>
      <c r="M49" s="127" t="s">
        <v>173</v>
      </c>
      <c r="N49" s="124">
        <v>0</v>
      </c>
      <c r="O49" s="150">
        <f t="shared" si="9"/>
        <v>0</v>
      </c>
      <c r="P49" s="145">
        <f t="shared" si="7"/>
        <v>0</v>
      </c>
      <c r="Q49" s="146">
        <f t="shared" si="5"/>
        <v>0</v>
      </c>
    </row>
    <row r="50" spans="1:17" x14ac:dyDescent="0.25">
      <c r="A50" t="s">
        <v>58</v>
      </c>
      <c r="B50" s="116">
        <v>15</v>
      </c>
      <c r="C50" s="17">
        <f>TRUNC(170*Q50*(1-L7)*(1-N50))</f>
        <v>0</v>
      </c>
      <c r="D50" s="17"/>
      <c r="E50" s="17"/>
      <c r="F50" s="17"/>
      <c r="G50" s="17"/>
      <c r="H50" s="17"/>
      <c r="I50" s="17"/>
      <c r="J50" s="17"/>
      <c r="K50" s="17"/>
      <c r="L50" s="18"/>
      <c r="M50" s="127" t="s">
        <v>173</v>
      </c>
      <c r="N50" s="124">
        <v>0</v>
      </c>
      <c r="O50" s="150">
        <f t="shared" si="9"/>
        <v>0</v>
      </c>
      <c r="P50" s="145">
        <f t="shared" si="7"/>
        <v>0</v>
      </c>
      <c r="Q50" s="146">
        <f t="shared" si="5"/>
        <v>0</v>
      </c>
    </row>
    <row r="51" spans="1:17" x14ac:dyDescent="0.25">
      <c r="A51" t="s">
        <v>30</v>
      </c>
      <c r="B51" s="116">
        <v>15</v>
      </c>
      <c r="C51" s="17">
        <f>TRUNC(100*Q51*(1-L7)*(1-N51))</f>
        <v>0</v>
      </c>
      <c r="D51" s="17"/>
      <c r="E51" s="17"/>
      <c r="F51" s="17"/>
      <c r="G51" s="17"/>
      <c r="H51" s="17"/>
      <c r="I51" s="17"/>
      <c r="J51" s="17">
        <f>TRUNC(70*Q51*(1-L7)*(1-N51))</f>
        <v>0</v>
      </c>
      <c r="K51" s="17"/>
      <c r="L51" s="18"/>
      <c r="M51" s="127" t="s">
        <v>173</v>
      </c>
      <c r="N51" s="124">
        <v>0</v>
      </c>
      <c r="O51" s="150">
        <f t="shared" si="9"/>
        <v>0</v>
      </c>
      <c r="P51" s="145">
        <f t="shared" si="7"/>
        <v>0</v>
      </c>
      <c r="Q51" s="146">
        <f t="shared" si="5"/>
        <v>0</v>
      </c>
    </row>
    <row r="52" spans="1:17" x14ac:dyDescent="0.25">
      <c r="A52" t="s">
        <v>31</v>
      </c>
      <c r="B52" s="116">
        <v>15</v>
      </c>
      <c r="C52" s="17">
        <f>TRUNC(90*Q52*(1-L7)*(1-N52))</f>
        <v>0</v>
      </c>
      <c r="D52" s="17"/>
      <c r="E52" s="17">
        <f>TRUNC(40*Q52*(1-L7)*(1-N52))</f>
        <v>0</v>
      </c>
      <c r="F52" s="17">
        <f>TRUNC(40*Q52*(1-L7)*(1-N52))</f>
        <v>0</v>
      </c>
      <c r="G52" s="17"/>
      <c r="H52" s="17"/>
      <c r="I52" s="17"/>
      <c r="J52" s="17"/>
      <c r="K52" s="17"/>
      <c r="L52" s="18"/>
      <c r="M52" s="127" t="s">
        <v>173</v>
      </c>
      <c r="N52" s="124">
        <v>0</v>
      </c>
      <c r="O52" s="150">
        <f t="shared" si="9"/>
        <v>0</v>
      </c>
      <c r="P52" s="145">
        <f t="shared" si="7"/>
        <v>0</v>
      </c>
      <c r="Q52" s="146">
        <f t="shared" si="5"/>
        <v>0</v>
      </c>
    </row>
    <row r="53" spans="1:17" ht="15.75" thickBot="1" x14ac:dyDescent="0.3">
      <c r="A53" t="s">
        <v>32</v>
      </c>
      <c r="B53" s="118">
        <v>15</v>
      </c>
      <c r="C53" s="20">
        <f>TRUNC(110*Q53*(1-L7)*(1-N53))</f>
        <v>0</v>
      </c>
      <c r="D53" s="21"/>
      <c r="E53" s="21"/>
      <c r="F53" s="21"/>
      <c r="G53" s="21"/>
      <c r="H53" s="21">
        <f>TRUNC(60*Q53*(1-L7)*(1-N53))</f>
        <v>0</v>
      </c>
      <c r="I53" s="21"/>
      <c r="J53" s="21"/>
      <c r="K53" s="21"/>
      <c r="L53" s="22"/>
      <c r="M53" s="127" t="s">
        <v>173</v>
      </c>
      <c r="N53" s="124">
        <v>0</v>
      </c>
      <c r="O53" s="150">
        <f t="shared" si="9"/>
        <v>0</v>
      </c>
      <c r="P53" s="145">
        <f t="shared" si="7"/>
        <v>0</v>
      </c>
      <c r="Q53" s="146">
        <f t="shared" si="5"/>
        <v>0</v>
      </c>
    </row>
    <row r="54" spans="1:17" ht="15.75" thickBot="1" x14ac:dyDescent="0.3">
      <c r="A54" s="3" t="s">
        <v>33</v>
      </c>
      <c r="B54" s="117" t="s">
        <v>166</v>
      </c>
      <c r="C54" s="91" t="s">
        <v>8</v>
      </c>
      <c r="D54" s="92" t="s">
        <v>9</v>
      </c>
      <c r="E54" s="92" t="s">
        <v>10</v>
      </c>
      <c r="F54" s="92" t="s">
        <v>137</v>
      </c>
      <c r="G54" s="92" t="s">
        <v>11</v>
      </c>
      <c r="H54" s="92" t="s">
        <v>138</v>
      </c>
      <c r="I54" s="92" t="s">
        <v>139</v>
      </c>
      <c r="J54" s="92" t="s">
        <v>12</v>
      </c>
      <c r="K54" s="92" t="s">
        <v>13</v>
      </c>
      <c r="L54" s="93" t="s">
        <v>105</v>
      </c>
      <c r="M54" s="93"/>
      <c r="N54" s="93"/>
      <c r="O54" s="151"/>
      <c r="P54" s="147"/>
      <c r="Q54" s="148"/>
    </row>
    <row r="55" spans="1:17" x14ac:dyDescent="0.25">
      <c r="A55" t="s">
        <v>34</v>
      </c>
      <c r="B55" s="115">
        <v>15</v>
      </c>
      <c r="C55" s="15"/>
      <c r="D55" s="15">
        <f>TRUNC(150*Q55*(1-L7)*(1-N55))</f>
        <v>0</v>
      </c>
      <c r="E55" s="15"/>
      <c r="F55" s="15"/>
      <c r="G55" s="15"/>
      <c r="H55" s="15"/>
      <c r="I55" s="15"/>
      <c r="J55" s="15">
        <f>TRUNC(60*Q55*(1-L7)*(1-N55))</f>
        <v>0</v>
      </c>
      <c r="K55" s="15"/>
      <c r="L55" s="16"/>
      <c r="M55" s="127" t="s">
        <v>173</v>
      </c>
      <c r="N55" s="124">
        <v>0</v>
      </c>
      <c r="O55" s="149">
        <f>IF(E$6="Elsweyr",60000*Q55*(1-L$7)*(1-N55),30000*Q55*(1-L$7)*(1-N55))</f>
        <v>0</v>
      </c>
      <c r="P55" s="145">
        <f t="shared" si="7"/>
        <v>0</v>
      </c>
      <c r="Q55" s="146">
        <f t="shared" si="5"/>
        <v>0</v>
      </c>
    </row>
    <row r="56" spans="1:17" x14ac:dyDescent="0.25">
      <c r="A56" t="s">
        <v>35</v>
      </c>
      <c r="B56" s="116">
        <v>15</v>
      </c>
      <c r="C56" s="17"/>
      <c r="D56" s="17"/>
      <c r="E56" s="17"/>
      <c r="F56" s="17">
        <f>TRUNC(70*Q56*(1-L7)*(1-N56))</f>
        <v>0</v>
      </c>
      <c r="G56" s="17"/>
      <c r="H56" s="17">
        <f>TRUNC(100*Q56*(1-L7)*(1-N56))</f>
        <v>0</v>
      </c>
      <c r="I56" s="17"/>
      <c r="J56" s="17"/>
      <c r="K56" s="17"/>
      <c r="L56" s="18"/>
      <c r="M56" s="127" t="s">
        <v>173</v>
      </c>
      <c r="N56" s="124">
        <v>0</v>
      </c>
      <c r="O56" s="150">
        <f t="shared" ref="O56:O61" si="10">30000*Q56*(1-L$7)*(1-N56)</f>
        <v>0</v>
      </c>
      <c r="P56" s="145">
        <f t="shared" si="7"/>
        <v>0</v>
      </c>
      <c r="Q56" s="146">
        <f t="shared" si="5"/>
        <v>0</v>
      </c>
    </row>
    <row r="57" spans="1:17" x14ac:dyDescent="0.25">
      <c r="A57" t="s">
        <v>36</v>
      </c>
      <c r="B57" s="116">
        <v>15</v>
      </c>
      <c r="C57" s="17"/>
      <c r="D57" s="17"/>
      <c r="E57" s="17"/>
      <c r="F57" s="17"/>
      <c r="G57" s="17"/>
      <c r="H57" s="17"/>
      <c r="I57" s="17"/>
      <c r="J57" s="17">
        <f>TRUNC(170*Q57*(1-L7)*(1-N57))</f>
        <v>0</v>
      </c>
      <c r="K57" s="17"/>
      <c r="L57" s="18"/>
      <c r="M57" s="127" t="s">
        <v>173</v>
      </c>
      <c r="N57" s="124">
        <v>0</v>
      </c>
      <c r="O57" s="150">
        <f t="shared" si="10"/>
        <v>0</v>
      </c>
      <c r="P57" s="145">
        <f t="shared" si="7"/>
        <v>0</v>
      </c>
      <c r="Q57" s="146">
        <f t="shared" si="5"/>
        <v>0</v>
      </c>
    </row>
    <row r="58" spans="1:17" x14ac:dyDescent="0.25">
      <c r="A58" t="s">
        <v>37</v>
      </c>
      <c r="B58" s="116">
        <v>15</v>
      </c>
      <c r="C58" s="17"/>
      <c r="D58" s="17"/>
      <c r="E58" s="17"/>
      <c r="F58" s="17"/>
      <c r="G58" s="17"/>
      <c r="H58" s="17">
        <f>TRUNC(170*Q58*(1-L7)*(1-N58))</f>
        <v>0</v>
      </c>
      <c r="I58" s="17"/>
      <c r="J58" s="17"/>
      <c r="K58" s="17"/>
      <c r="L58" s="18"/>
      <c r="M58" s="127" t="s">
        <v>173</v>
      </c>
      <c r="N58" s="124">
        <v>0</v>
      </c>
      <c r="O58" s="150">
        <f t="shared" si="10"/>
        <v>0</v>
      </c>
      <c r="P58" s="145">
        <f t="shared" si="7"/>
        <v>0</v>
      </c>
      <c r="Q58" s="146">
        <f t="shared" si="5"/>
        <v>0</v>
      </c>
    </row>
    <row r="59" spans="1:17" x14ac:dyDescent="0.25">
      <c r="A59" t="s">
        <v>38</v>
      </c>
      <c r="B59" s="116">
        <v>15</v>
      </c>
      <c r="C59" s="17"/>
      <c r="D59" s="17"/>
      <c r="E59" s="17"/>
      <c r="F59" s="17">
        <f>TRUNC(130*Q59*(1-L7)*(1-N59))</f>
        <v>0</v>
      </c>
      <c r="G59" s="17"/>
      <c r="H59" s="17"/>
      <c r="I59" s="17"/>
      <c r="J59" s="17">
        <f>TRUNC(40*Q59*(1-L7)*(1-N59))</f>
        <v>0</v>
      </c>
      <c r="K59" s="17"/>
      <c r="L59" s="18"/>
      <c r="M59" s="127" t="s">
        <v>173</v>
      </c>
      <c r="N59" s="124">
        <v>0</v>
      </c>
      <c r="O59" s="150">
        <f t="shared" si="10"/>
        <v>0</v>
      </c>
      <c r="P59" s="145">
        <f t="shared" si="7"/>
        <v>0</v>
      </c>
      <c r="Q59" s="146">
        <f t="shared" si="5"/>
        <v>0</v>
      </c>
    </row>
    <row r="60" spans="1:17" x14ac:dyDescent="0.25">
      <c r="A60" t="s">
        <v>39</v>
      </c>
      <c r="B60" s="116">
        <v>15</v>
      </c>
      <c r="C60" s="17"/>
      <c r="D60" s="17"/>
      <c r="E60" s="17"/>
      <c r="F60" s="17"/>
      <c r="G60" s="17"/>
      <c r="H60" s="17"/>
      <c r="I60" s="17"/>
      <c r="J60" s="17">
        <f>TRUNC(60*Q60*(1-L7)*(1-N60))</f>
        <v>0</v>
      </c>
      <c r="K60" s="17"/>
      <c r="L60" s="18">
        <f>TRUNC(110*Q60*(1-L7)*(1-N60))</f>
        <v>0</v>
      </c>
      <c r="M60" s="127" t="s">
        <v>173</v>
      </c>
      <c r="N60" s="124">
        <v>0</v>
      </c>
      <c r="O60" s="150">
        <f t="shared" si="10"/>
        <v>0</v>
      </c>
      <c r="P60" s="145">
        <f t="shared" si="7"/>
        <v>0</v>
      </c>
      <c r="Q60" s="146">
        <f t="shared" si="5"/>
        <v>0</v>
      </c>
    </row>
    <row r="61" spans="1:17" ht="15.75" thickBot="1" x14ac:dyDescent="0.3">
      <c r="A61" t="s">
        <v>40</v>
      </c>
      <c r="B61" s="116">
        <v>15</v>
      </c>
      <c r="C61" s="17">
        <f>TRUNC(30*Q61*(1-L7)*(1-N61))</f>
        <v>0</v>
      </c>
      <c r="D61" s="17"/>
      <c r="E61" s="17">
        <f>TRUNC(60*Q61*(1-L7)*(1-N61))</f>
        <v>0</v>
      </c>
      <c r="F61" s="17"/>
      <c r="G61" s="17"/>
      <c r="H61" s="17"/>
      <c r="I61" s="17"/>
      <c r="J61" s="17">
        <f>TRUNC(80*Q61*(1-L7)*(1-N61))</f>
        <v>0</v>
      </c>
      <c r="K61" s="17"/>
      <c r="L61" s="18"/>
      <c r="M61" s="127" t="s">
        <v>173</v>
      </c>
      <c r="N61" s="124">
        <v>0</v>
      </c>
      <c r="O61" s="150">
        <f t="shared" si="10"/>
        <v>0</v>
      </c>
      <c r="P61" s="145">
        <f t="shared" si="7"/>
        <v>0</v>
      </c>
      <c r="Q61" s="146">
        <f t="shared" si="5"/>
        <v>0</v>
      </c>
    </row>
    <row r="62" spans="1:17" ht="15.75" thickBot="1" x14ac:dyDescent="0.3">
      <c r="A62" s="3" t="s">
        <v>41</v>
      </c>
      <c r="B62" s="117" t="s">
        <v>166</v>
      </c>
      <c r="C62" s="91" t="s">
        <v>8</v>
      </c>
      <c r="D62" s="92" t="s">
        <v>9</v>
      </c>
      <c r="E62" s="92" t="s">
        <v>10</v>
      </c>
      <c r="F62" s="92" t="s">
        <v>137</v>
      </c>
      <c r="G62" s="92" t="s">
        <v>11</v>
      </c>
      <c r="H62" s="92" t="s">
        <v>138</v>
      </c>
      <c r="I62" s="92" t="s">
        <v>139</v>
      </c>
      <c r="J62" s="92" t="s">
        <v>12</v>
      </c>
      <c r="K62" s="92" t="s">
        <v>13</v>
      </c>
      <c r="L62" s="93" t="s">
        <v>105</v>
      </c>
      <c r="M62" s="93"/>
      <c r="N62" s="93"/>
      <c r="O62" s="151"/>
      <c r="P62" s="147"/>
      <c r="Q62" s="148"/>
    </row>
    <row r="63" spans="1:17" x14ac:dyDescent="0.25">
      <c r="A63" t="s">
        <v>42</v>
      </c>
      <c r="B63" s="115">
        <v>15</v>
      </c>
      <c r="C63" s="15"/>
      <c r="D63" s="15">
        <f>TRUNC(60*Q63*(1-L7)*(1-N63))</f>
        <v>0</v>
      </c>
      <c r="E63" s="15"/>
      <c r="F63" s="15"/>
      <c r="G63" s="15"/>
      <c r="H63" s="15"/>
      <c r="I63" s="15"/>
      <c r="J63" s="15"/>
      <c r="K63" s="15"/>
      <c r="L63" s="16">
        <f>TRUNC(150*Q63*(1-L7)*(1-N63))</f>
        <v>0</v>
      </c>
      <c r="M63" s="127" t="s">
        <v>173</v>
      </c>
      <c r="N63" s="124">
        <v>0</v>
      </c>
      <c r="O63" s="149">
        <f>IF(E$6="Hauteroche",60000*Q63*(1-L$7)*(1-N63),30000*Q63*(1-L$7)*(1-N63))</f>
        <v>0</v>
      </c>
      <c r="P63" s="145">
        <f t="shared" si="7"/>
        <v>0</v>
      </c>
      <c r="Q63" s="146">
        <f t="shared" si="5"/>
        <v>0</v>
      </c>
    </row>
    <row r="64" spans="1:17" x14ac:dyDescent="0.25">
      <c r="A64" t="s">
        <v>43</v>
      </c>
      <c r="B64" s="116">
        <v>15</v>
      </c>
      <c r="C64" s="17"/>
      <c r="D64" s="17">
        <f>TRUNC(70*Q64*(1-L7)*(1-N64))</f>
        <v>0</v>
      </c>
      <c r="E64" s="17"/>
      <c r="F64" s="17"/>
      <c r="G64" s="17"/>
      <c r="H64" s="17"/>
      <c r="I64" s="17"/>
      <c r="J64" s="17"/>
      <c r="K64" s="17"/>
      <c r="L64" s="18">
        <f>TRUNC(100*Q64*(1-L7)*(1-N64))</f>
        <v>0</v>
      </c>
      <c r="M64" s="127" t="s">
        <v>173</v>
      </c>
      <c r="N64" s="124">
        <v>0</v>
      </c>
      <c r="O64" s="150">
        <f t="shared" ref="O64:O70" si="11">30000*Q64*(1-L$7)*(1-N64)</f>
        <v>0</v>
      </c>
      <c r="P64" s="145">
        <f t="shared" si="7"/>
        <v>0</v>
      </c>
      <c r="Q64" s="146">
        <f t="shared" si="5"/>
        <v>0</v>
      </c>
    </row>
    <row r="65" spans="1:17" x14ac:dyDescent="0.25">
      <c r="A65" t="s">
        <v>44</v>
      </c>
      <c r="B65" s="116">
        <v>15</v>
      </c>
      <c r="C65" s="17"/>
      <c r="D65" s="17">
        <f>TRUNC(80*Q65*(1-L7)*(1-N65))</f>
        <v>0</v>
      </c>
      <c r="E65" s="17">
        <f>TRUNC(20*Q65*(1-L7)*(1-N65))</f>
        <v>0</v>
      </c>
      <c r="F65" s="17"/>
      <c r="G65" s="17"/>
      <c r="H65" s="17"/>
      <c r="I65" s="17"/>
      <c r="J65" s="17"/>
      <c r="K65" s="17">
        <f>TRUNC(70*Q65*(1-L7)*(1-N65))</f>
        <v>0</v>
      </c>
      <c r="L65" s="18"/>
      <c r="M65" s="127" t="s">
        <v>173</v>
      </c>
      <c r="N65" s="124">
        <v>0</v>
      </c>
      <c r="O65" s="150">
        <f t="shared" si="11"/>
        <v>0</v>
      </c>
      <c r="P65" s="145">
        <f t="shared" si="7"/>
        <v>0</v>
      </c>
      <c r="Q65" s="146">
        <f t="shared" si="5"/>
        <v>0</v>
      </c>
    </row>
    <row r="66" spans="1:17" x14ac:dyDescent="0.25">
      <c r="A66" t="s">
        <v>45</v>
      </c>
      <c r="B66" s="116">
        <v>15</v>
      </c>
      <c r="C66" s="17">
        <f>TRUNC(100*Q66*(1-L7)*(1-N66))</f>
        <v>0</v>
      </c>
      <c r="D66" s="17">
        <f>TRUNC(70*Q66*(1-L7)*(1-N66))</f>
        <v>0</v>
      </c>
      <c r="E66" s="17"/>
      <c r="F66" s="17"/>
      <c r="G66" s="17"/>
      <c r="H66" s="17"/>
      <c r="I66" s="17"/>
      <c r="J66" s="17"/>
      <c r="K66" s="17"/>
      <c r="L66" s="18"/>
      <c r="M66" s="127" t="s">
        <v>173</v>
      </c>
      <c r="N66" s="124">
        <v>0</v>
      </c>
      <c r="O66" s="150">
        <f t="shared" si="11"/>
        <v>0</v>
      </c>
      <c r="P66" s="145">
        <f t="shared" si="7"/>
        <v>0</v>
      </c>
      <c r="Q66" s="146">
        <f t="shared" si="5"/>
        <v>0</v>
      </c>
    </row>
    <row r="67" spans="1:17" x14ac:dyDescent="0.25">
      <c r="A67" t="s">
        <v>46</v>
      </c>
      <c r="B67" s="116">
        <v>15</v>
      </c>
      <c r="C67" s="17">
        <f>TRUNC(120*Q67*(1-L7)*(1-N67))</f>
        <v>0</v>
      </c>
      <c r="D67" s="17">
        <f>TRUNC(50*Q67*(1-L7)*(1-N67))</f>
        <v>0</v>
      </c>
      <c r="E67" s="17"/>
      <c r="F67" s="17"/>
      <c r="G67" s="17"/>
      <c r="H67" s="17"/>
      <c r="I67" s="17"/>
      <c r="J67" s="17"/>
      <c r="K67" s="17"/>
      <c r="L67" s="18"/>
      <c r="M67" s="127" t="s">
        <v>173</v>
      </c>
      <c r="N67" s="124">
        <v>0</v>
      </c>
      <c r="O67" s="150">
        <f t="shared" si="11"/>
        <v>0</v>
      </c>
      <c r="P67" s="145">
        <f t="shared" si="7"/>
        <v>0</v>
      </c>
      <c r="Q67" s="146">
        <f t="shared" si="5"/>
        <v>0</v>
      </c>
    </row>
    <row r="68" spans="1:17" x14ac:dyDescent="0.25">
      <c r="A68" t="s">
        <v>47</v>
      </c>
      <c r="B68" s="116">
        <v>15</v>
      </c>
      <c r="C68" s="17"/>
      <c r="D68" s="17"/>
      <c r="E68" s="17"/>
      <c r="F68" s="17"/>
      <c r="G68" s="17">
        <f>TRUNC(100*Q68*(1-L7)*(1-N68))</f>
        <v>0</v>
      </c>
      <c r="H68" s="17"/>
      <c r="I68" s="17"/>
      <c r="J68" s="17"/>
      <c r="K68" s="17"/>
      <c r="L68" s="18">
        <f>TRUNC(70*Q68*(1-L7)*(1-N68))</f>
        <v>0</v>
      </c>
      <c r="M68" s="127" t="s">
        <v>173</v>
      </c>
      <c r="N68" s="124">
        <v>0</v>
      </c>
      <c r="O68" s="150">
        <f t="shared" si="11"/>
        <v>0</v>
      </c>
      <c r="P68" s="145">
        <f t="shared" si="7"/>
        <v>0</v>
      </c>
      <c r="Q68" s="146">
        <f t="shared" si="5"/>
        <v>0</v>
      </c>
    </row>
    <row r="69" spans="1:17" x14ac:dyDescent="0.25">
      <c r="A69" t="s">
        <v>48</v>
      </c>
      <c r="B69" s="116">
        <v>15</v>
      </c>
      <c r="C69" s="17"/>
      <c r="D69" s="17">
        <f>TRUNC(90*Q69*(1-L7)*(1-N69))</f>
        <v>0</v>
      </c>
      <c r="E69" s="17"/>
      <c r="F69" s="17"/>
      <c r="G69" s="17"/>
      <c r="H69" s="17">
        <f>TRUNC(80*Q69*(1-L7)*(1-N69))</f>
        <v>0</v>
      </c>
      <c r="I69" s="17"/>
      <c r="J69" s="17"/>
      <c r="K69" s="17"/>
      <c r="L69" s="18"/>
      <c r="M69" s="127" t="s">
        <v>173</v>
      </c>
      <c r="N69" s="124">
        <v>0</v>
      </c>
      <c r="O69" s="150">
        <f t="shared" si="11"/>
        <v>0</v>
      </c>
      <c r="P69" s="145">
        <f t="shared" si="7"/>
        <v>0</v>
      </c>
      <c r="Q69" s="146">
        <f t="shared" si="5"/>
        <v>0</v>
      </c>
    </row>
    <row r="70" spans="1:17" ht="15.75" thickBot="1" x14ac:dyDescent="0.3">
      <c r="A70" t="s">
        <v>104</v>
      </c>
      <c r="B70" s="116">
        <v>15</v>
      </c>
      <c r="C70" s="17"/>
      <c r="D70" s="17"/>
      <c r="E70" s="17"/>
      <c r="F70" s="17"/>
      <c r="G70" s="17">
        <f>TRUNC(70*Q70*(1-L7)*(1-N70))</f>
        <v>0</v>
      </c>
      <c r="H70" s="17">
        <f>TRUNC(100*Q70*(1-L7)*(1-N70))</f>
        <v>0</v>
      </c>
      <c r="I70" s="17"/>
      <c r="J70" s="17"/>
      <c r="K70" s="17"/>
      <c r="L70" s="18"/>
      <c r="M70" s="127" t="s">
        <v>173</v>
      </c>
      <c r="N70" s="124">
        <v>0</v>
      </c>
      <c r="O70" s="150">
        <f t="shared" si="11"/>
        <v>0</v>
      </c>
      <c r="P70" s="145">
        <f t="shared" si="7"/>
        <v>0</v>
      </c>
      <c r="Q70" s="146">
        <f t="shared" si="5"/>
        <v>0</v>
      </c>
    </row>
    <row r="71" spans="1:17" ht="15.75" thickBot="1" x14ac:dyDescent="0.3">
      <c r="A71" s="3" t="s">
        <v>49</v>
      </c>
      <c r="B71" s="117" t="s">
        <v>166</v>
      </c>
      <c r="C71" s="91" t="s">
        <v>8</v>
      </c>
      <c r="D71" s="92" t="s">
        <v>9</v>
      </c>
      <c r="E71" s="92" t="s">
        <v>10</v>
      </c>
      <c r="F71" s="92" t="s">
        <v>137</v>
      </c>
      <c r="G71" s="92" t="s">
        <v>11</v>
      </c>
      <c r="H71" s="92" t="s">
        <v>138</v>
      </c>
      <c r="I71" s="92" t="s">
        <v>139</v>
      </c>
      <c r="J71" s="92" t="s">
        <v>12</v>
      </c>
      <c r="K71" s="92" t="s">
        <v>13</v>
      </c>
      <c r="L71" s="93" t="s">
        <v>105</v>
      </c>
      <c r="M71" s="93"/>
      <c r="N71" s="93"/>
      <c r="O71" s="151"/>
      <c r="P71" s="147"/>
      <c r="Q71" s="148"/>
    </row>
    <row r="72" spans="1:17" x14ac:dyDescent="0.25">
      <c r="A72" t="s">
        <v>50</v>
      </c>
      <c r="B72" s="115">
        <v>15</v>
      </c>
      <c r="C72" s="15"/>
      <c r="D72" s="15"/>
      <c r="E72" s="15"/>
      <c r="F72" s="15">
        <f>TRUNC(110*Q72*(1-L7)*(1-N72))</f>
        <v>110</v>
      </c>
      <c r="G72" s="15"/>
      <c r="H72" s="15"/>
      <c r="I72" s="15">
        <f>TRUNC(100*Q72*(1-L7)*(1-N72))</f>
        <v>100</v>
      </c>
      <c r="J72" s="15"/>
      <c r="K72" s="15"/>
      <c r="L72" s="16"/>
      <c r="M72" s="127" t="s">
        <v>174</v>
      </c>
      <c r="N72" s="124">
        <v>0</v>
      </c>
      <c r="O72" s="149">
        <f>IF(E$6="Lenclume",60000*Q72*(1-L$7)*(1-N72),30000*Q72*(1-L$7)*(1-N72))</f>
        <v>60000</v>
      </c>
      <c r="P72" s="145">
        <f t="shared" si="7"/>
        <v>15</v>
      </c>
      <c r="Q72" s="146">
        <f t="shared" si="5"/>
        <v>1</v>
      </c>
    </row>
    <row r="73" spans="1:17" x14ac:dyDescent="0.25">
      <c r="A73" t="s">
        <v>51</v>
      </c>
      <c r="B73" s="116">
        <v>15</v>
      </c>
      <c r="C73" s="17"/>
      <c r="D73" s="17"/>
      <c r="E73" s="17"/>
      <c r="F73" s="17"/>
      <c r="G73" s="17">
        <f>TRUNC(60*Q73*(1-L7)*(1-N73))</f>
        <v>60</v>
      </c>
      <c r="H73" s="17"/>
      <c r="I73" s="17"/>
      <c r="J73" s="17">
        <f>TRUNC(110*Q73*(1-L7)*(1-N73))</f>
        <v>110</v>
      </c>
      <c r="K73" s="17"/>
      <c r="L73" s="18"/>
      <c r="M73" s="127" t="s">
        <v>174</v>
      </c>
      <c r="N73" s="124">
        <v>0</v>
      </c>
      <c r="O73" s="150">
        <f t="shared" ref="O73:O79" si="12">30000*Q73*(1-L$7)*(1-N73)</f>
        <v>30000</v>
      </c>
      <c r="P73" s="145">
        <f t="shared" si="7"/>
        <v>15</v>
      </c>
      <c r="Q73" s="146">
        <f t="shared" si="5"/>
        <v>1</v>
      </c>
    </row>
    <row r="74" spans="1:17" x14ac:dyDescent="0.25">
      <c r="A74" t="s">
        <v>52</v>
      </c>
      <c r="B74" s="116">
        <v>15</v>
      </c>
      <c r="C74" s="17"/>
      <c r="D74" s="17"/>
      <c r="E74" s="17"/>
      <c r="F74" s="17">
        <f>TRUNC(120*Q74*(1-L7)*(1-N74))</f>
        <v>120</v>
      </c>
      <c r="G74" s="17"/>
      <c r="H74" s="17"/>
      <c r="I74" s="17"/>
      <c r="J74" s="17">
        <f>TRUNC(50*Q74*(1-L7)*(1-N74))</f>
        <v>50</v>
      </c>
      <c r="K74" s="17"/>
      <c r="L74" s="18"/>
      <c r="M74" s="127" t="s">
        <v>174</v>
      </c>
      <c r="N74" s="124">
        <v>0</v>
      </c>
      <c r="O74" s="150">
        <f t="shared" si="12"/>
        <v>30000</v>
      </c>
      <c r="P74" s="145">
        <f t="shared" si="7"/>
        <v>15</v>
      </c>
      <c r="Q74" s="146">
        <f t="shared" si="5"/>
        <v>1</v>
      </c>
    </row>
    <row r="75" spans="1:17" x14ac:dyDescent="0.25">
      <c r="A75" t="s">
        <v>53</v>
      </c>
      <c r="B75" s="116">
        <v>15</v>
      </c>
      <c r="C75" s="17"/>
      <c r="D75" s="17"/>
      <c r="E75" s="17"/>
      <c r="F75" s="17">
        <f>TRUNC(170*Q75*(1-L7)*(1-N75))</f>
        <v>170</v>
      </c>
      <c r="G75" s="17"/>
      <c r="H75" s="17"/>
      <c r="I75" s="17"/>
      <c r="J75" s="17"/>
      <c r="K75" s="17"/>
      <c r="L75" s="18"/>
      <c r="M75" s="127" t="s">
        <v>174</v>
      </c>
      <c r="N75" s="124">
        <v>0</v>
      </c>
      <c r="O75" s="150">
        <f t="shared" si="12"/>
        <v>30000</v>
      </c>
      <c r="P75" s="145">
        <f t="shared" si="7"/>
        <v>15</v>
      </c>
      <c r="Q75" s="146">
        <f t="shared" si="5"/>
        <v>1</v>
      </c>
    </row>
    <row r="76" spans="1:17" x14ac:dyDescent="0.25">
      <c r="A76" t="s">
        <v>54</v>
      </c>
      <c r="B76" s="116">
        <v>15</v>
      </c>
      <c r="C76" s="17"/>
      <c r="D76" s="17"/>
      <c r="E76" s="17"/>
      <c r="F76" s="17"/>
      <c r="G76" s="17"/>
      <c r="H76" s="17"/>
      <c r="I76" s="17"/>
      <c r="J76" s="17">
        <f>TRUNC(170*Q76*(1-L7)*(1-N76))</f>
        <v>170</v>
      </c>
      <c r="K76" s="17"/>
      <c r="L76" s="18"/>
      <c r="M76" s="127" t="s">
        <v>174</v>
      </c>
      <c r="N76" s="124">
        <v>0</v>
      </c>
      <c r="O76" s="150">
        <f t="shared" si="12"/>
        <v>30000</v>
      </c>
      <c r="P76" s="145">
        <f t="shared" si="7"/>
        <v>15</v>
      </c>
      <c r="Q76" s="146">
        <f t="shared" si="5"/>
        <v>1</v>
      </c>
    </row>
    <row r="77" spans="1:17" x14ac:dyDescent="0.25">
      <c r="A77" t="s">
        <v>55</v>
      </c>
      <c r="B77" s="116">
        <v>15</v>
      </c>
      <c r="C77" s="17"/>
      <c r="D77" s="17"/>
      <c r="E77" s="17">
        <f>TRUNC(120*Q77*(1-L7)*(1-N77))</f>
        <v>120</v>
      </c>
      <c r="F77" s="17"/>
      <c r="G77" s="17"/>
      <c r="H77" s="17"/>
      <c r="I77" s="17"/>
      <c r="J77" s="17"/>
      <c r="K77" s="17">
        <f>TRUNC(50*Q77*(1-L7)*(1-N77))</f>
        <v>50</v>
      </c>
      <c r="L77" s="18"/>
      <c r="M77" s="127" t="s">
        <v>174</v>
      </c>
      <c r="N77" s="124">
        <v>0</v>
      </c>
      <c r="O77" s="150">
        <f t="shared" si="12"/>
        <v>30000</v>
      </c>
      <c r="P77" s="145">
        <f t="shared" si="7"/>
        <v>15</v>
      </c>
      <c r="Q77" s="146">
        <f t="shared" si="5"/>
        <v>1</v>
      </c>
    </row>
    <row r="78" spans="1:17" x14ac:dyDescent="0.25">
      <c r="A78" t="s">
        <v>56</v>
      </c>
      <c r="B78" s="116">
        <v>15</v>
      </c>
      <c r="C78" s="17"/>
      <c r="D78" s="17"/>
      <c r="E78" s="17">
        <f>TRUNC(120*Q78*(1-L7)*(1-N78))</f>
        <v>120</v>
      </c>
      <c r="F78" s="17"/>
      <c r="G78" s="17"/>
      <c r="H78" s="17"/>
      <c r="I78" s="17">
        <f>TRUNC(50*Q78*(1-L7)*(1-N78))</f>
        <v>50</v>
      </c>
      <c r="J78" s="17"/>
      <c r="K78" s="17"/>
      <c r="L78" s="18"/>
      <c r="M78" s="127" t="s">
        <v>174</v>
      </c>
      <c r="N78" s="124">
        <v>0</v>
      </c>
      <c r="O78" s="150">
        <f t="shared" si="12"/>
        <v>30000</v>
      </c>
      <c r="P78" s="145">
        <f t="shared" si="7"/>
        <v>15</v>
      </c>
      <c r="Q78" s="146">
        <f t="shared" si="5"/>
        <v>1</v>
      </c>
    </row>
    <row r="79" spans="1:17" ht="15.75" thickBot="1" x14ac:dyDescent="0.3">
      <c r="A79" t="s">
        <v>57</v>
      </c>
      <c r="B79" s="116">
        <v>15</v>
      </c>
      <c r="C79" s="17"/>
      <c r="D79" s="17"/>
      <c r="E79" s="17"/>
      <c r="F79" s="17">
        <f>TRUNC(30*Q79*(1-L7)*(1-N79))</f>
        <v>30</v>
      </c>
      <c r="G79" s="17">
        <f>TRUNC(40*Q79*(1-L7)*(1-N79))</f>
        <v>40</v>
      </c>
      <c r="H79" s="17"/>
      <c r="I79" s="17"/>
      <c r="J79" s="17"/>
      <c r="K79" s="17">
        <f>TRUNC(100*Q79*(1-L7)*(1-N79))</f>
        <v>100</v>
      </c>
      <c r="L79" s="18"/>
      <c r="M79" s="127" t="s">
        <v>174</v>
      </c>
      <c r="N79" s="124">
        <v>0</v>
      </c>
      <c r="O79" s="150">
        <f t="shared" si="12"/>
        <v>30000</v>
      </c>
      <c r="P79" s="145">
        <f t="shared" si="7"/>
        <v>15</v>
      </c>
      <c r="Q79" s="146">
        <f t="shared" si="5"/>
        <v>1</v>
      </c>
    </row>
    <row r="80" spans="1:17" ht="15.75" thickBot="1" x14ac:dyDescent="0.3">
      <c r="A80" s="3" t="s">
        <v>59</v>
      </c>
      <c r="B80" s="117" t="s">
        <v>166</v>
      </c>
      <c r="C80" s="91" t="s">
        <v>8</v>
      </c>
      <c r="D80" s="92" t="s">
        <v>9</v>
      </c>
      <c r="E80" s="92" t="s">
        <v>10</v>
      </c>
      <c r="F80" s="92" t="s">
        <v>137</v>
      </c>
      <c r="G80" s="92" t="s">
        <v>11</v>
      </c>
      <c r="H80" s="92" t="s">
        <v>138</v>
      </c>
      <c r="I80" s="92" t="s">
        <v>139</v>
      </c>
      <c r="J80" s="92" t="s">
        <v>12</v>
      </c>
      <c r="K80" s="92" t="s">
        <v>13</v>
      </c>
      <c r="L80" s="93" t="s">
        <v>105</v>
      </c>
      <c r="M80" s="93"/>
      <c r="N80" s="93"/>
      <c r="O80" s="151"/>
      <c r="P80" s="147"/>
      <c r="Q80" s="148"/>
    </row>
    <row r="81" spans="1:17" x14ac:dyDescent="0.25">
      <c r="A81" t="s">
        <v>60</v>
      </c>
      <c r="B81" s="115">
        <v>15</v>
      </c>
      <c r="C81" s="15"/>
      <c r="D81" s="15"/>
      <c r="E81" s="15"/>
      <c r="F81" s="15">
        <f>TRUNC(40*Q81*(1-L7)*(1-N81))</f>
        <v>0</v>
      </c>
      <c r="G81" s="15"/>
      <c r="H81" s="15">
        <f>TRUNC(120*Q81*(1-L7)*(1-N81))</f>
        <v>0</v>
      </c>
      <c r="I81" s="15">
        <f>TRUNC(TRUNC(20*Q81*(1-L7)*(1-N81)))</f>
        <v>0</v>
      </c>
      <c r="J81" s="15"/>
      <c r="K81" s="15"/>
      <c r="L81" s="16">
        <f>TRUNC(20*Q81*(1-L7)*(1-N81))</f>
        <v>0</v>
      </c>
      <c r="M81" s="127" t="s">
        <v>173</v>
      </c>
      <c r="N81" s="124">
        <v>0</v>
      </c>
      <c r="O81" s="149">
        <f>IF(E$6="Marais Noir",60000*Q81*(1-L$7)*(1-N81),30000*Q81*(1-L$7)*(1-N81))</f>
        <v>0</v>
      </c>
      <c r="P81" s="145">
        <f t="shared" si="7"/>
        <v>0</v>
      </c>
      <c r="Q81" s="146">
        <f t="shared" si="5"/>
        <v>0</v>
      </c>
    </row>
    <row r="82" spans="1:17" x14ac:dyDescent="0.25">
      <c r="A82" t="s">
        <v>61</v>
      </c>
      <c r="B82" s="116">
        <v>15</v>
      </c>
      <c r="C82" s="17">
        <f>TRUNC(30*Q82*(1-L7)*(1-N82))</f>
        <v>0</v>
      </c>
      <c r="D82" s="17"/>
      <c r="E82" s="17"/>
      <c r="F82" s="17"/>
      <c r="G82" s="17"/>
      <c r="H82" s="17"/>
      <c r="I82" s="17"/>
      <c r="J82" s="17">
        <f>TRUNC(140*Q82*(1-L7)*(1-N82))</f>
        <v>0</v>
      </c>
      <c r="K82" s="17"/>
      <c r="L82" s="18"/>
      <c r="M82" s="127" t="s">
        <v>173</v>
      </c>
      <c r="N82" s="124">
        <v>0</v>
      </c>
      <c r="O82" s="150">
        <f t="shared" ref="O82:O88" si="13">30000*Q82*(1-L$7)*(1-N82)</f>
        <v>0</v>
      </c>
      <c r="P82" s="145">
        <f t="shared" si="7"/>
        <v>0</v>
      </c>
      <c r="Q82" s="146">
        <f t="shared" si="5"/>
        <v>0</v>
      </c>
    </row>
    <row r="83" spans="1:17" x14ac:dyDescent="0.25">
      <c r="A83" t="s">
        <v>62</v>
      </c>
      <c r="B83" s="116">
        <v>15</v>
      </c>
      <c r="C83" s="17"/>
      <c r="D83" s="17"/>
      <c r="E83" s="17"/>
      <c r="F83" s="17">
        <f>TRUNC(170*Q83*(1-L7)*(1-N83))</f>
        <v>0</v>
      </c>
      <c r="G83" s="17"/>
      <c r="H83" s="17"/>
      <c r="I83" s="17"/>
      <c r="J83" s="17"/>
      <c r="K83" s="17"/>
      <c r="L83" s="18"/>
      <c r="M83" s="127" t="s">
        <v>173</v>
      </c>
      <c r="N83" s="124">
        <v>0</v>
      </c>
      <c r="O83" s="150">
        <f t="shared" si="13"/>
        <v>0</v>
      </c>
      <c r="P83" s="145">
        <f t="shared" si="7"/>
        <v>0</v>
      </c>
      <c r="Q83" s="146">
        <f t="shared" si="5"/>
        <v>0</v>
      </c>
    </row>
    <row r="84" spans="1:17" x14ac:dyDescent="0.25">
      <c r="A84" t="s">
        <v>63</v>
      </c>
      <c r="B84" s="116">
        <v>15</v>
      </c>
      <c r="C84" s="17"/>
      <c r="D84" s="17">
        <f>TRUNC(50*Q84*(1-L7)*(1-N84))</f>
        <v>0</v>
      </c>
      <c r="E84" s="17"/>
      <c r="F84" s="17">
        <f>TRUNC(100*Q84*(1-L7)*(1-N84))</f>
        <v>0</v>
      </c>
      <c r="G84" s="17"/>
      <c r="H84" s="17">
        <f>TRUNC(20*Q84*(1-L7)*(1-N84))</f>
        <v>0</v>
      </c>
      <c r="I84" s="17"/>
      <c r="J84" s="17"/>
      <c r="K84" s="17"/>
      <c r="L84" s="18"/>
      <c r="M84" s="127" t="s">
        <v>173</v>
      </c>
      <c r="N84" s="124">
        <v>0</v>
      </c>
      <c r="O84" s="150">
        <f t="shared" si="13"/>
        <v>0</v>
      </c>
      <c r="P84" s="145">
        <f t="shared" si="7"/>
        <v>0</v>
      </c>
      <c r="Q84" s="146">
        <f t="shared" si="5"/>
        <v>0</v>
      </c>
    </row>
    <row r="85" spans="1:17" x14ac:dyDescent="0.25">
      <c r="A85" t="s">
        <v>64</v>
      </c>
      <c r="B85" s="116">
        <v>15</v>
      </c>
      <c r="C85" s="17"/>
      <c r="D85" s="17"/>
      <c r="E85" s="17"/>
      <c r="F85" s="17">
        <f>TRUNC(40*Q85*(1-L7)*(1-N85))</f>
        <v>0</v>
      </c>
      <c r="G85" s="17"/>
      <c r="H85" s="17"/>
      <c r="I85" s="17"/>
      <c r="J85" s="17"/>
      <c r="K85" s="17"/>
      <c r="L85" s="18">
        <f>TRUNC(130*Q85*(1-L7)*(1-N85))</f>
        <v>0</v>
      </c>
      <c r="M85" s="127" t="s">
        <v>173</v>
      </c>
      <c r="N85" s="124">
        <v>0</v>
      </c>
      <c r="O85" s="150">
        <f t="shared" si="13"/>
        <v>0</v>
      </c>
      <c r="P85" s="145">
        <f t="shared" si="7"/>
        <v>0</v>
      </c>
      <c r="Q85" s="146">
        <f t="shared" si="5"/>
        <v>0</v>
      </c>
    </row>
    <row r="86" spans="1:17" x14ac:dyDescent="0.25">
      <c r="A86" t="s">
        <v>65</v>
      </c>
      <c r="B86" s="116">
        <v>15</v>
      </c>
      <c r="C86" s="17"/>
      <c r="D86" s="17"/>
      <c r="E86" s="17"/>
      <c r="F86" s="17"/>
      <c r="G86" s="17"/>
      <c r="H86" s="17">
        <f>TRUNC(170*Q86*(1-L7)*(1-N86))</f>
        <v>0</v>
      </c>
      <c r="I86" s="17"/>
      <c r="J86" s="17"/>
      <c r="K86" s="17"/>
      <c r="L86" s="18"/>
      <c r="M86" s="127" t="s">
        <v>173</v>
      </c>
      <c r="N86" s="124">
        <v>0</v>
      </c>
      <c r="O86" s="150">
        <f t="shared" si="13"/>
        <v>0</v>
      </c>
      <c r="P86" s="145">
        <f t="shared" si="7"/>
        <v>0</v>
      </c>
      <c r="Q86" s="146">
        <f t="shared" si="5"/>
        <v>0</v>
      </c>
    </row>
    <row r="87" spans="1:17" x14ac:dyDescent="0.25">
      <c r="A87" t="s">
        <v>66</v>
      </c>
      <c r="B87" s="116">
        <v>15</v>
      </c>
      <c r="C87" s="17"/>
      <c r="D87" s="17"/>
      <c r="E87" s="17"/>
      <c r="F87" s="17"/>
      <c r="G87" s="17"/>
      <c r="H87" s="17">
        <f>TRUNC(40*Q87*(1-L7)*(1-N87))</f>
        <v>0</v>
      </c>
      <c r="I87" s="17">
        <f>TRUNC(130*Q87*(1-L7)*(1-N87))</f>
        <v>0</v>
      </c>
      <c r="J87" s="17"/>
      <c r="K87" s="17"/>
      <c r="L87" s="18"/>
      <c r="M87" s="127" t="s">
        <v>173</v>
      </c>
      <c r="N87" s="124">
        <v>0</v>
      </c>
      <c r="O87" s="150">
        <f t="shared" si="13"/>
        <v>0</v>
      </c>
      <c r="P87" s="145">
        <f t="shared" si="7"/>
        <v>0</v>
      </c>
      <c r="Q87" s="146">
        <f t="shared" si="5"/>
        <v>0</v>
      </c>
    </row>
    <row r="88" spans="1:17" ht="15.75" thickBot="1" x14ac:dyDescent="0.3">
      <c r="A88" t="s">
        <v>67</v>
      </c>
      <c r="B88" s="116">
        <v>15</v>
      </c>
      <c r="C88" s="17"/>
      <c r="D88" s="17"/>
      <c r="E88" s="17"/>
      <c r="F88" s="17"/>
      <c r="G88" s="17"/>
      <c r="H88" s="17">
        <f>TRUNC(100*Q88*(1-L7)*(1-N88))</f>
        <v>0</v>
      </c>
      <c r="I88" s="17">
        <f>TRUNC(70*Q88*(1-L7)*(1-N88))</f>
        <v>0</v>
      </c>
      <c r="J88" s="17"/>
      <c r="K88" s="17"/>
      <c r="L88" s="18"/>
      <c r="M88" s="127" t="s">
        <v>173</v>
      </c>
      <c r="N88" s="124">
        <v>0</v>
      </c>
      <c r="O88" s="150">
        <f t="shared" si="13"/>
        <v>0</v>
      </c>
      <c r="P88" s="145">
        <f t="shared" si="7"/>
        <v>0</v>
      </c>
      <c r="Q88" s="146">
        <f t="shared" si="5"/>
        <v>0</v>
      </c>
    </row>
    <row r="89" spans="1:17" ht="15.75" thickBot="1" x14ac:dyDescent="0.3">
      <c r="A89" s="3" t="s">
        <v>68</v>
      </c>
      <c r="B89" s="117" t="s">
        <v>166</v>
      </c>
      <c r="C89" s="91" t="s">
        <v>8</v>
      </c>
      <c r="D89" s="92" t="s">
        <v>9</v>
      </c>
      <c r="E89" s="92" t="s">
        <v>10</v>
      </c>
      <c r="F89" s="92" t="s">
        <v>137</v>
      </c>
      <c r="G89" s="92" t="s">
        <v>11</v>
      </c>
      <c r="H89" s="92" t="s">
        <v>138</v>
      </c>
      <c r="I89" s="92" t="s">
        <v>139</v>
      </c>
      <c r="J89" s="92" t="s">
        <v>12</v>
      </c>
      <c r="K89" s="92" t="s">
        <v>13</v>
      </c>
      <c r="L89" s="93" t="s">
        <v>105</v>
      </c>
      <c r="M89" s="93"/>
      <c r="N89" s="93"/>
      <c r="O89" s="151"/>
      <c r="P89" s="147"/>
      <c r="Q89" s="148"/>
    </row>
    <row r="90" spans="1:17" x14ac:dyDescent="0.25">
      <c r="A90" t="s">
        <v>69</v>
      </c>
      <c r="B90" s="115">
        <v>15</v>
      </c>
      <c r="C90" s="15"/>
      <c r="D90" s="15"/>
      <c r="E90" s="15">
        <f>TRUNC(20*Q90*(1-L7)*(1-N90))</f>
        <v>0</v>
      </c>
      <c r="F90" s="15"/>
      <c r="G90" s="15">
        <f>TRUNC(20*Q90*(1-L7)*(1-N90))</f>
        <v>0</v>
      </c>
      <c r="H90" s="15">
        <f>TRUNC(90*Q90*(1-L7)*(1-N90))</f>
        <v>0</v>
      </c>
      <c r="I90" s="15"/>
      <c r="J90" s="15">
        <f>TRUNC(20*Q90*(1-L7)*(1-N90))</f>
        <v>0</v>
      </c>
      <c r="K90" s="15"/>
      <c r="L90" s="16">
        <f>TRUNC(60*Q90*(1-L7)*(1-N90))</f>
        <v>0</v>
      </c>
      <c r="M90" s="127" t="s">
        <v>173</v>
      </c>
      <c r="N90" s="124">
        <v>0</v>
      </c>
      <c r="O90" s="149">
        <f>IF(E$6="Morrowind",60000*Q90*(1-L$7)*(1-N90),30000*Q90*(1-L$7)*(1-N90))</f>
        <v>0</v>
      </c>
      <c r="P90" s="145">
        <f t="shared" si="7"/>
        <v>0</v>
      </c>
      <c r="Q90" s="146">
        <f t="shared" si="5"/>
        <v>0</v>
      </c>
    </row>
    <row r="91" spans="1:17" x14ac:dyDescent="0.25">
      <c r="A91" t="s">
        <v>70</v>
      </c>
      <c r="B91" s="116">
        <v>15</v>
      </c>
      <c r="C91" s="17"/>
      <c r="D91" s="17"/>
      <c r="E91" s="17"/>
      <c r="F91" s="17"/>
      <c r="G91" s="17">
        <f>TRUNC(170*Q91*(1-L7)*(1-N91))</f>
        <v>0</v>
      </c>
      <c r="H91" s="17"/>
      <c r="I91" s="17"/>
      <c r="J91" s="17"/>
      <c r="K91" s="17"/>
      <c r="L91" s="18"/>
      <c r="M91" s="127" t="s">
        <v>173</v>
      </c>
      <c r="N91" s="124">
        <v>0</v>
      </c>
      <c r="O91" s="150">
        <f t="shared" ref="O91:O97" si="14">30000*Q91*(1-L$7)*(1-N91)</f>
        <v>0</v>
      </c>
      <c r="P91" s="145">
        <f t="shared" si="7"/>
        <v>0</v>
      </c>
      <c r="Q91" s="146">
        <f t="shared" si="5"/>
        <v>0</v>
      </c>
    </row>
    <row r="92" spans="1:17" x14ac:dyDescent="0.25">
      <c r="A92" t="s">
        <v>71</v>
      </c>
      <c r="B92" s="116">
        <v>15</v>
      </c>
      <c r="C92" s="17">
        <f>TRUNC(70*Q92*(1-L7)*(1-N92))</f>
        <v>0</v>
      </c>
      <c r="D92" s="17"/>
      <c r="E92" s="17"/>
      <c r="F92" s="17"/>
      <c r="G92" s="17"/>
      <c r="H92" s="17"/>
      <c r="I92" s="17"/>
      <c r="J92" s="17"/>
      <c r="K92" s="17"/>
      <c r="L92" s="18">
        <f>TRUNC(100*Q92*(1-L7)*(1-N92))</f>
        <v>0</v>
      </c>
      <c r="M92" s="127" t="s">
        <v>173</v>
      </c>
      <c r="N92" s="124">
        <v>0</v>
      </c>
      <c r="O92" s="150">
        <f t="shared" si="14"/>
        <v>0</v>
      </c>
      <c r="P92" s="145">
        <f t="shared" si="7"/>
        <v>0</v>
      </c>
      <c r="Q92" s="146">
        <f t="shared" ref="Q92:Q111" si="15">IF(M92="Possédée",1,IF(M92="Assiégée",0.5,0))</f>
        <v>0</v>
      </c>
    </row>
    <row r="93" spans="1:17" x14ac:dyDescent="0.25">
      <c r="A93" t="s">
        <v>72</v>
      </c>
      <c r="B93" s="116">
        <v>15</v>
      </c>
      <c r="C93" s="17"/>
      <c r="D93" s="17"/>
      <c r="E93" s="17">
        <f>TRUNC(60*Q93*(1-L7)*(1-N93))</f>
        <v>0</v>
      </c>
      <c r="F93" s="17"/>
      <c r="G93" s="17"/>
      <c r="H93" s="17"/>
      <c r="I93" s="17"/>
      <c r="J93" s="17"/>
      <c r="K93" s="17">
        <f>TRUNC(110*Q93*(1-L7)*(1-N93))</f>
        <v>0</v>
      </c>
      <c r="L93" s="18"/>
      <c r="M93" s="127" t="s">
        <v>173</v>
      </c>
      <c r="N93" s="124">
        <v>0</v>
      </c>
      <c r="O93" s="150">
        <f t="shared" si="14"/>
        <v>0</v>
      </c>
      <c r="P93" s="145">
        <f t="shared" ref="P93:P118" si="16">IF(OR(M93="Possédée",M93="Assiégée"),B93,0)</f>
        <v>0</v>
      </c>
      <c r="Q93" s="146">
        <f t="shared" si="15"/>
        <v>0</v>
      </c>
    </row>
    <row r="94" spans="1:17" x14ac:dyDescent="0.25">
      <c r="A94" t="s">
        <v>73</v>
      </c>
      <c r="B94" s="116">
        <v>15</v>
      </c>
      <c r="C94" s="17"/>
      <c r="D94" s="17"/>
      <c r="E94" s="17"/>
      <c r="F94" s="17"/>
      <c r="G94" s="17">
        <f>TRUNC(100*Q94*(1-L7)*(1-N94))</f>
        <v>0</v>
      </c>
      <c r="H94" s="17">
        <f>TRUNC(50*Q94*(1-L7)*(1-N94))</f>
        <v>0</v>
      </c>
      <c r="I94" s="17"/>
      <c r="J94" s="17"/>
      <c r="K94" s="17"/>
      <c r="L94" s="18">
        <f>TRUNC(20*Q94*(1-L7)*(1-N94))</f>
        <v>0</v>
      </c>
      <c r="M94" s="127" t="s">
        <v>173</v>
      </c>
      <c r="N94" s="124">
        <v>0</v>
      </c>
      <c r="O94" s="150">
        <f t="shared" si="14"/>
        <v>0</v>
      </c>
      <c r="P94" s="145">
        <f t="shared" si="16"/>
        <v>0</v>
      </c>
      <c r="Q94" s="146">
        <f t="shared" si="15"/>
        <v>0</v>
      </c>
    </row>
    <row r="95" spans="1:17" x14ac:dyDescent="0.25">
      <c r="A95" t="s">
        <v>74</v>
      </c>
      <c r="B95" s="116">
        <v>15</v>
      </c>
      <c r="C95" s="17"/>
      <c r="D95" s="17"/>
      <c r="E95" s="17">
        <f>TRUNC(100*Q95*(1-L7)*(1-N95))</f>
        <v>0</v>
      </c>
      <c r="F95" s="17"/>
      <c r="G95" s="17">
        <f>TRUNC(70*Q95*(1-L7)*(1-N95))</f>
        <v>0</v>
      </c>
      <c r="H95" s="17"/>
      <c r="I95" s="17"/>
      <c r="J95" s="17"/>
      <c r="K95" s="17"/>
      <c r="L95" s="18"/>
      <c r="M95" s="127" t="s">
        <v>173</v>
      </c>
      <c r="N95" s="124">
        <v>0</v>
      </c>
      <c r="O95" s="150">
        <f t="shared" si="14"/>
        <v>0</v>
      </c>
      <c r="P95" s="145">
        <f t="shared" si="16"/>
        <v>0</v>
      </c>
      <c r="Q95" s="146">
        <f t="shared" si="15"/>
        <v>0</v>
      </c>
    </row>
    <row r="96" spans="1:17" x14ac:dyDescent="0.25">
      <c r="A96" t="s">
        <v>75</v>
      </c>
      <c r="B96" s="116">
        <v>15</v>
      </c>
      <c r="C96" s="17"/>
      <c r="D96" s="17"/>
      <c r="E96" s="17">
        <f>TRUNC(120*Q96*(1-L7)*(1-N96))</f>
        <v>0</v>
      </c>
      <c r="F96" s="17"/>
      <c r="G96" s="17"/>
      <c r="H96" s="17"/>
      <c r="I96" s="17"/>
      <c r="J96" s="17"/>
      <c r="K96" s="17">
        <f>TRUNC(50*Q96*(1-L7)*(1-N96))</f>
        <v>0</v>
      </c>
      <c r="L96" s="18"/>
      <c r="M96" s="127" t="s">
        <v>173</v>
      </c>
      <c r="N96" s="124">
        <v>0</v>
      </c>
      <c r="O96" s="150">
        <f t="shared" si="14"/>
        <v>0</v>
      </c>
      <c r="P96" s="145">
        <f t="shared" si="16"/>
        <v>0</v>
      </c>
      <c r="Q96" s="146">
        <f t="shared" si="15"/>
        <v>0</v>
      </c>
    </row>
    <row r="97" spans="1:17" ht="15.75" thickBot="1" x14ac:dyDescent="0.3">
      <c r="A97" t="s">
        <v>76</v>
      </c>
      <c r="B97" s="116">
        <v>15</v>
      </c>
      <c r="C97" s="17"/>
      <c r="D97" s="17"/>
      <c r="E97" s="17">
        <f>TRUNC(170*Q97*(1-L7)*(1-N97))</f>
        <v>0</v>
      </c>
      <c r="F97" s="17"/>
      <c r="G97" s="17"/>
      <c r="H97" s="17"/>
      <c r="I97" s="17"/>
      <c r="J97" s="17"/>
      <c r="K97" s="17"/>
      <c r="L97" s="18"/>
      <c r="M97" s="127" t="s">
        <v>173</v>
      </c>
      <c r="N97" s="124">
        <v>0</v>
      </c>
      <c r="O97" s="150">
        <f t="shared" si="14"/>
        <v>0</v>
      </c>
      <c r="P97" s="145">
        <f t="shared" si="16"/>
        <v>0</v>
      </c>
      <c r="Q97" s="146">
        <f t="shared" si="15"/>
        <v>0</v>
      </c>
    </row>
    <row r="98" spans="1:17" ht="15.75" thickBot="1" x14ac:dyDescent="0.3">
      <c r="A98" s="3" t="s">
        <v>77</v>
      </c>
      <c r="B98" s="117" t="s">
        <v>166</v>
      </c>
      <c r="C98" s="91" t="s">
        <v>8</v>
      </c>
      <c r="D98" s="92" t="s">
        <v>9</v>
      </c>
      <c r="E98" s="92" t="s">
        <v>10</v>
      </c>
      <c r="F98" s="92" t="s">
        <v>137</v>
      </c>
      <c r="G98" s="92" t="s">
        <v>11</v>
      </c>
      <c r="H98" s="92" t="s">
        <v>138</v>
      </c>
      <c r="I98" s="92" t="s">
        <v>139</v>
      </c>
      <c r="J98" s="92" t="s">
        <v>12</v>
      </c>
      <c r="K98" s="92" t="s">
        <v>13</v>
      </c>
      <c r="L98" s="93" t="s">
        <v>105</v>
      </c>
      <c r="M98" s="93"/>
      <c r="N98" s="93"/>
      <c r="O98" s="151"/>
      <c r="P98" s="147"/>
      <c r="Q98" s="148"/>
    </row>
    <row r="99" spans="1:17" x14ac:dyDescent="0.25">
      <c r="A99" t="s">
        <v>78</v>
      </c>
      <c r="B99" s="115">
        <v>15</v>
      </c>
      <c r="C99" s="15"/>
      <c r="D99" s="15"/>
      <c r="E99" s="15"/>
      <c r="F99" s="15"/>
      <c r="G99" s="15">
        <f>TRUNC(30*Q99*(1-L7)*(1-N99))</f>
        <v>0</v>
      </c>
      <c r="H99" s="15">
        <f>TRUNC(40*Q99*(1-L7)*(1-N99))</f>
        <v>0</v>
      </c>
      <c r="I99" s="15">
        <f>TRUNC(140*Q99*(1-L7)*(1-N99))</f>
        <v>0</v>
      </c>
      <c r="J99" s="15"/>
      <c r="K99" s="15"/>
      <c r="L99" s="16"/>
      <c r="M99" s="127" t="s">
        <v>173</v>
      </c>
      <c r="N99" s="124">
        <v>0</v>
      </c>
      <c r="O99" s="149">
        <f>IF(E$6="Val-Boisé",60000*Q99*(1-L$7)*(1-N99),30000*Q99*(1-L$7)*(1-N99))</f>
        <v>0</v>
      </c>
      <c r="P99" s="145">
        <f t="shared" si="16"/>
        <v>0</v>
      </c>
      <c r="Q99" s="146">
        <f t="shared" si="15"/>
        <v>0</v>
      </c>
    </row>
    <row r="100" spans="1:17" x14ac:dyDescent="0.25">
      <c r="A100" t="s">
        <v>79</v>
      </c>
      <c r="B100" s="116">
        <v>15</v>
      </c>
      <c r="C100" s="17"/>
      <c r="D100" s="17"/>
      <c r="E100" s="17"/>
      <c r="F100" s="17"/>
      <c r="G100" s="17"/>
      <c r="H100" s="17"/>
      <c r="I100" s="17">
        <f>TRUNC(50*Q100*(1-L7)*(1-N100))</f>
        <v>0</v>
      </c>
      <c r="J100" s="17">
        <f>TRUNC(120*Q100*(1-L7)*(1-N100))</f>
        <v>0</v>
      </c>
      <c r="K100" s="17"/>
      <c r="L100" s="18"/>
      <c r="M100" s="127" t="s">
        <v>173</v>
      </c>
      <c r="N100" s="124">
        <v>0</v>
      </c>
      <c r="O100" s="150">
        <f t="shared" ref="O100:O106" si="17">30000*Q100*(1-L$7)*(1-N100)</f>
        <v>0</v>
      </c>
      <c r="P100" s="145">
        <f t="shared" si="16"/>
        <v>0</v>
      </c>
      <c r="Q100" s="146">
        <f t="shared" si="15"/>
        <v>0</v>
      </c>
    </row>
    <row r="101" spans="1:17" x14ac:dyDescent="0.25">
      <c r="A101" t="s">
        <v>80</v>
      </c>
      <c r="B101" s="116">
        <v>15</v>
      </c>
      <c r="C101" s="17"/>
      <c r="D101" s="17"/>
      <c r="E101" s="17"/>
      <c r="F101" s="17">
        <f>TRUNC(70*Q101*(1-L7)*(1-N101))</f>
        <v>0</v>
      </c>
      <c r="G101" s="17">
        <f>TRUNC(40*Q101*(1-L7)*(1-N101))</f>
        <v>0</v>
      </c>
      <c r="H101" s="17"/>
      <c r="I101" s="17"/>
      <c r="J101" s="17"/>
      <c r="K101" s="17">
        <f>TRUNC(20*Q101*(1-L7)*(1-N101))</f>
        <v>0</v>
      </c>
      <c r="L101" s="18">
        <f>TRUNC(40*Q101*(1-L7)*(1-N101))</f>
        <v>0</v>
      </c>
      <c r="M101" s="127" t="s">
        <v>173</v>
      </c>
      <c r="N101" s="124">
        <v>0</v>
      </c>
      <c r="O101" s="150">
        <f t="shared" si="17"/>
        <v>0</v>
      </c>
      <c r="P101" s="145">
        <f t="shared" si="16"/>
        <v>0</v>
      </c>
      <c r="Q101" s="146">
        <f t="shared" si="15"/>
        <v>0</v>
      </c>
    </row>
    <row r="102" spans="1:17" x14ac:dyDescent="0.25">
      <c r="A102" t="s">
        <v>81</v>
      </c>
      <c r="B102" s="116">
        <v>15</v>
      </c>
      <c r="C102" s="17"/>
      <c r="D102" s="17"/>
      <c r="E102" s="17"/>
      <c r="F102" s="17"/>
      <c r="G102" s="17"/>
      <c r="H102" s="17"/>
      <c r="I102" s="17">
        <f>TRUNC(170*Q102*(1-L7)*(1-N102))</f>
        <v>0</v>
      </c>
      <c r="J102" s="17"/>
      <c r="K102" s="17"/>
      <c r="L102" s="18"/>
      <c r="M102" s="127" t="s">
        <v>173</v>
      </c>
      <c r="N102" s="124">
        <v>0</v>
      </c>
      <c r="O102" s="150">
        <f t="shared" si="17"/>
        <v>0</v>
      </c>
      <c r="P102" s="145">
        <f t="shared" si="16"/>
        <v>0</v>
      </c>
      <c r="Q102" s="146">
        <f t="shared" si="15"/>
        <v>0</v>
      </c>
    </row>
    <row r="103" spans="1:17" x14ac:dyDescent="0.25">
      <c r="A103" t="s">
        <v>82</v>
      </c>
      <c r="B103" s="116">
        <v>15</v>
      </c>
      <c r="C103" s="17">
        <f>TRUNC(100*Q103*(1-L7)*(1-N103))</f>
        <v>0</v>
      </c>
      <c r="D103" s="17"/>
      <c r="E103" s="17"/>
      <c r="F103" s="17"/>
      <c r="G103" s="17"/>
      <c r="H103" s="17"/>
      <c r="I103" s="17"/>
      <c r="J103" s="17">
        <f>TRUNC(70*Q103*(1-L7)*(1-N103))</f>
        <v>0</v>
      </c>
      <c r="K103" s="17"/>
      <c r="L103" s="18"/>
      <c r="M103" s="127" t="s">
        <v>173</v>
      </c>
      <c r="N103" s="124">
        <v>0</v>
      </c>
      <c r="O103" s="150">
        <f t="shared" si="17"/>
        <v>0</v>
      </c>
      <c r="P103" s="145">
        <f t="shared" si="16"/>
        <v>0</v>
      </c>
      <c r="Q103" s="146">
        <f t="shared" si="15"/>
        <v>0</v>
      </c>
    </row>
    <row r="104" spans="1:17" x14ac:dyDescent="0.25">
      <c r="A104" t="s">
        <v>83</v>
      </c>
      <c r="B104" s="116">
        <v>15</v>
      </c>
      <c r="C104" s="17">
        <f>TRUNC(170*Q104*(1-L7)*(1-N104))</f>
        <v>0</v>
      </c>
      <c r="D104" s="17"/>
      <c r="E104" s="17"/>
      <c r="F104" s="17"/>
      <c r="G104" s="17"/>
      <c r="H104" s="17"/>
      <c r="I104" s="17"/>
      <c r="J104" s="17"/>
      <c r="K104" s="17"/>
      <c r="L104" s="18"/>
      <c r="M104" s="127" t="s">
        <v>173</v>
      </c>
      <c r="N104" s="124">
        <v>0</v>
      </c>
      <c r="O104" s="150">
        <f t="shared" si="17"/>
        <v>0</v>
      </c>
      <c r="P104" s="145">
        <f t="shared" si="16"/>
        <v>0</v>
      </c>
      <c r="Q104" s="146">
        <f t="shared" si="15"/>
        <v>0</v>
      </c>
    </row>
    <row r="105" spans="1:17" x14ac:dyDescent="0.25">
      <c r="A105" t="s">
        <v>84</v>
      </c>
      <c r="B105" s="116">
        <v>15</v>
      </c>
      <c r="C105" s="17"/>
      <c r="D105" s="17"/>
      <c r="E105" s="17"/>
      <c r="F105" s="17"/>
      <c r="G105" s="17"/>
      <c r="H105" s="17">
        <f>TRUNC(170*Q105*(1-L7)*(1-N105))</f>
        <v>0</v>
      </c>
      <c r="I105" s="17"/>
      <c r="J105" s="17"/>
      <c r="K105" s="17"/>
      <c r="L105" s="18"/>
      <c r="M105" s="127" t="s">
        <v>173</v>
      </c>
      <c r="N105" s="124">
        <v>0</v>
      </c>
      <c r="O105" s="150">
        <f t="shared" si="17"/>
        <v>0</v>
      </c>
      <c r="P105" s="145">
        <f t="shared" si="16"/>
        <v>0</v>
      </c>
      <c r="Q105" s="146">
        <f t="shared" si="15"/>
        <v>0</v>
      </c>
    </row>
    <row r="106" spans="1:17" ht="15.75" thickBot="1" x14ac:dyDescent="0.3">
      <c r="A106" t="s">
        <v>85</v>
      </c>
      <c r="B106" s="116">
        <v>15</v>
      </c>
      <c r="C106" s="17">
        <f>TRUNC(60*Q106*(1-L7)*(1-N106))</f>
        <v>0</v>
      </c>
      <c r="D106" s="17"/>
      <c r="E106" s="17"/>
      <c r="F106" s="17"/>
      <c r="G106" s="17"/>
      <c r="H106" s="17"/>
      <c r="I106" s="17">
        <f>TRUNC(110*Q106*(1-L7)*(1-N106))</f>
        <v>0</v>
      </c>
      <c r="J106" s="17"/>
      <c r="K106" s="17"/>
      <c r="L106" s="18"/>
      <c r="M106" s="127" t="s">
        <v>173</v>
      </c>
      <c r="N106" s="124">
        <v>0</v>
      </c>
      <c r="O106" s="150">
        <f t="shared" si="17"/>
        <v>0</v>
      </c>
      <c r="P106" s="145">
        <f t="shared" si="16"/>
        <v>0</v>
      </c>
      <c r="Q106" s="146">
        <f t="shared" si="15"/>
        <v>0</v>
      </c>
    </row>
    <row r="107" spans="1:17" ht="15.75" thickBot="1" x14ac:dyDescent="0.3">
      <c r="A107" s="3" t="s">
        <v>86</v>
      </c>
      <c r="B107" s="117" t="s">
        <v>166</v>
      </c>
      <c r="C107" s="91" t="s">
        <v>8</v>
      </c>
      <c r="D107" s="92" t="s">
        <v>9</v>
      </c>
      <c r="E107" s="92" t="s">
        <v>10</v>
      </c>
      <c r="F107" s="92" t="s">
        <v>137</v>
      </c>
      <c r="G107" s="92" t="s">
        <v>11</v>
      </c>
      <c r="H107" s="92" t="s">
        <v>138</v>
      </c>
      <c r="I107" s="92" t="s">
        <v>139</v>
      </c>
      <c r="J107" s="92" t="s">
        <v>12</v>
      </c>
      <c r="K107" s="92" t="s">
        <v>13</v>
      </c>
      <c r="L107" s="93" t="s">
        <v>105</v>
      </c>
      <c r="M107" s="93"/>
      <c r="N107" s="93"/>
      <c r="O107" s="151"/>
      <c r="P107" s="147"/>
      <c r="Q107" s="148"/>
    </row>
    <row r="108" spans="1:17" x14ac:dyDescent="0.25">
      <c r="A108" t="s">
        <v>89</v>
      </c>
      <c r="B108" s="115">
        <v>15</v>
      </c>
      <c r="C108" s="15"/>
      <c r="D108" s="15"/>
      <c r="E108" s="15">
        <f>TRUNC(90*Q108*(1-L7)*(1-N108))</f>
        <v>0</v>
      </c>
      <c r="F108" s="15"/>
      <c r="G108" s="15"/>
      <c r="H108" s="15"/>
      <c r="I108" s="15"/>
      <c r="J108" s="15"/>
      <c r="K108" s="15">
        <f>TRUNC(120*Q108*(1-L7)*(1-N108))</f>
        <v>0</v>
      </c>
      <c r="L108" s="16"/>
      <c r="M108" s="127" t="s">
        <v>173</v>
      </c>
      <c r="N108" s="124">
        <v>0</v>
      </c>
      <c r="O108" s="149">
        <f>IF(E$6="Solstheim",60000*Q108*(1-L$7)*(1-N108),30000*Q108*(1-L$7)*(1-N108))</f>
        <v>0</v>
      </c>
      <c r="P108" s="145">
        <f t="shared" si="16"/>
        <v>0</v>
      </c>
      <c r="Q108" s="146">
        <f t="shared" si="15"/>
        <v>0</v>
      </c>
    </row>
    <row r="109" spans="1:17" x14ac:dyDescent="0.25">
      <c r="A109" t="s">
        <v>88</v>
      </c>
      <c r="B109" s="116">
        <v>15</v>
      </c>
      <c r="C109" s="17"/>
      <c r="D109" s="17"/>
      <c r="E109" s="17">
        <f>TRUNC(80*Q109*(1-L7)*(1-N109))</f>
        <v>0</v>
      </c>
      <c r="F109" s="17"/>
      <c r="G109" s="17">
        <f>TRUNC(20*Q109*(1-L7)*(1-N109))</f>
        <v>0</v>
      </c>
      <c r="H109" s="17"/>
      <c r="I109" s="17"/>
      <c r="J109" s="17"/>
      <c r="K109" s="17">
        <f>TRUNC(70*Q109*(1-L7)*(1-N109))</f>
        <v>0</v>
      </c>
      <c r="L109" s="18"/>
      <c r="M109" s="127" t="s">
        <v>173</v>
      </c>
      <c r="N109" s="124">
        <v>0</v>
      </c>
      <c r="O109" s="150">
        <f t="shared" ref="O109:O110" si="18">30000*Q109*(1-L$7)*(1-N109)</f>
        <v>0</v>
      </c>
      <c r="P109" s="145">
        <f t="shared" si="16"/>
        <v>0</v>
      </c>
      <c r="Q109" s="146">
        <f t="shared" si="15"/>
        <v>0</v>
      </c>
    </row>
    <row r="110" spans="1:17" ht="15.75" thickBot="1" x14ac:dyDescent="0.3">
      <c r="A110" s="39" t="s">
        <v>87</v>
      </c>
      <c r="B110" s="116">
        <v>15</v>
      </c>
      <c r="C110" s="19"/>
      <c r="D110" s="17">
        <f>TRUNC(90*Q110*(1-L7)*(1-N110))</f>
        <v>0</v>
      </c>
      <c r="E110" s="17"/>
      <c r="F110" s="17"/>
      <c r="G110" s="17">
        <f>TRUNC(30*Q110*(1-L7)*(1-N110))</f>
        <v>0</v>
      </c>
      <c r="H110" s="17"/>
      <c r="I110" s="17"/>
      <c r="J110" s="17"/>
      <c r="K110" s="17">
        <f>TRUNC(50*Q110*(1-L7)*(1-N110))</f>
        <v>0</v>
      </c>
      <c r="L110" s="18"/>
      <c r="M110" s="127" t="s">
        <v>173</v>
      </c>
      <c r="N110" s="124">
        <v>0</v>
      </c>
      <c r="O110" s="150">
        <f t="shared" si="18"/>
        <v>0</v>
      </c>
      <c r="P110" s="145">
        <f t="shared" si="16"/>
        <v>0</v>
      </c>
      <c r="Q110" s="146">
        <f t="shared" si="15"/>
        <v>0</v>
      </c>
    </row>
    <row r="111" spans="1:17" ht="15.75" thickBot="1" x14ac:dyDescent="0.3">
      <c r="A111" s="3" t="s">
        <v>140</v>
      </c>
      <c r="B111" s="119">
        <v>15</v>
      </c>
      <c r="C111" s="113"/>
      <c r="D111" s="89"/>
      <c r="E111" s="89">
        <f>TRUNC(70*Q111*(1-L7)*(1-N111))</f>
        <v>0</v>
      </c>
      <c r="F111" s="89"/>
      <c r="G111" s="89">
        <f>TRUNC(40*Q111*(1-L7)*(1-N111))</f>
        <v>0</v>
      </c>
      <c r="H111" s="89"/>
      <c r="I111" s="89"/>
      <c r="J111" s="89"/>
      <c r="K111" s="89">
        <f>TRUNC(100*Q111*(1-L7)*(1-N111))</f>
        <v>0</v>
      </c>
      <c r="L111" s="90"/>
      <c r="M111" s="127" t="s">
        <v>173</v>
      </c>
      <c r="N111" s="124">
        <v>0</v>
      </c>
      <c r="O111" s="150">
        <f>IF(E$6="Orsinium",60000*Q111*(1-L$7)*(1-N111),30000*Q111*(1-L$7)*(1-N111))</f>
        <v>0</v>
      </c>
      <c r="P111" s="145">
        <f t="shared" si="16"/>
        <v>0</v>
      </c>
      <c r="Q111" s="146">
        <f t="shared" si="15"/>
        <v>0</v>
      </c>
    </row>
    <row r="112" spans="1:17" ht="15.75" thickBot="1" x14ac:dyDescent="0.3">
      <c r="A112" s="3" t="s">
        <v>215</v>
      </c>
      <c r="B112" s="117" t="s">
        <v>166</v>
      </c>
      <c r="C112" s="91" t="s">
        <v>8</v>
      </c>
      <c r="D112" s="92" t="s">
        <v>9</v>
      </c>
      <c r="E112" s="92" t="s">
        <v>10</v>
      </c>
      <c r="F112" s="92" t="s">
        <v>137</v>
      </c>
      <c r="G112" s="92" t="s">
        <v>11</v>
      </c>
      <c r="H112" s="92" t="s">
        <v>138</v>
      </c>
      <c r="I112" s="92" t="s">
        <v>139</v>
      </c>
      <c r="J112" s="92" t="s">
        <v>12</v>
      </c>
      <c r="K112" s="92" t="s">
        <v>13</v>
      </c>
      <c r="L112" s="93" t="s">
        <v>105</v>
      </c>
      <c r="M112" s="93"/>
      <c r="N112" s="93"/>
      <c r="O112" s="151"/>
      <c r="P112" s="147"/>
      <c r="Q112" s="148"/>
    </row>
    <row r="113" spans="1:17" x14ac:dyDescent="0.25">
      <c r="A113" t="s">
        <v>142</v>
      </c>
      <c r="B113" s="115">
        <v>0</v>
      </c>
      <c r="C113" s="15"/>
      <c r="D113" s="15"/>
      <c r="E113" s="15">
        <f>TRUNC(10*Q113*(1-N113))</f>
        <v>0</v>
      </c>
      <c r="F113" s="15"/>
      <c r="G113" s="15"/>
      <c r="H113" s="15">
        <f>TRUNC(10*Q113*(1-N113))</f>
        <v>0</v>
      </c>
      <c r="I113" s="15"/>
      <c r="J113" s="15">
        <f>TRUNC(10*Q113*(1-N113))</f>
        <v>0</v>
      </c>
      <c r="K113" s="15"/>
      <c r="L113" s="16"/>
      <c r="M113" s="127" t="s">
        <v>173</v>
      </c>
      <c r="N113" s="124">
        <v>0</v>
      </c>
      <c r="O113" s="149">
        <f>IF(E$6="Strik",40000*Q113*(1-L$7)*(1-N113),0)</f>
        <v>0</v>
      </c>
      <c r="P113" s="145">
        <f t="shared" si="16"/>
        <v>0</v>
      </c>
      <c r="Q113" s="146">
        <f>IF(E$6=A113,IF(M113="Possédée",1,IF(M113="Assiégée",0.5,0)),0)</f>
        <v>0</v>
      </c>
    </row>
    <row r="114" spans="1:17" x14ac:dyDescent="0.25">
      <c r="A114" t="s">
        <v>143</v>
      </c>
      <c r="B114" s="116">
        <v>0</v>
      </c>
      <c r="C114" s="17"/>
      <c r="D114" s="17"/>
      <c r="E114" s="17">
        <f>TRUNC(10*Q114*(1-N114))</f>
        <v>0</v>
      </c>
      <c r="F114" s="17"/>
      <c r="G114" s="17"/>
      <c r="H114" s="17">
        <f>TRUNC(10*Q114*(1-N114))</f>
        <v>0</v>
      </c>
      <c r="I114" s="17"/>
      <c r="J114" s="17">
        <f>TRUNC(10*Q114*(1-N114))</f>
        <v>0</v>
      </c>
      <c r="K114" s="17"/>
      <c r="L114" s="18"/>
      <c r="M114" s="127" t="s">
        <v>173</v>
      </c>
      <c r="N114" s="124">
        <v>0</v>
      </c>
      <c r="O114" s="150">
        <f>IF(E$6="Stros M'Kai",40000*Q114*(1-L$7)*(1-N114),0)</f>
        <v>0</v>
      </c>
      <c r="P114" s="145">
        <f t="shared" si="16"/>
        <v>0</v>
      </c>
      <c r="Q114" s="146">
        <f t="shared" ref="Q114:Q118" si="19">IF(E$6=A114,IF(M114="Possédée",1,IF(M114="Assiégée",0.5,0)),0)</f>
        <v>0</v>
      </c>
    </row>
    <row r="115" spans="1:17" x14ac:dyDescent="0.25">
      <c r="A115" t="s">
        <v>144</v>
      </c>
      <c r="B115" s="116">
        <v>0</v>
      </c>
      <c r="C115" s="17"/>
      <c r="D115" s="17"/>
      <c r="E115" s="17">
        <f t="shared" ref="E115:E118" si="20">TRUNC(10*Q115*(1-N115))</f>
        <v>0</v>
      </c>
      <c r="F115" s="17"/>
      <c r="G115" s="17"/>
      <c r="H115" s="17">
        <f t="shared" ref="H115:H118" si="21">TRUNC(10*Q115*(1-N115))</f>
        <v>0</v>
      </c>
      <c r="I115" s="17"/>
      <c r="J115" s="17">
        <f t="shared" ref="J115:J118" si="22">TRUNC(10*Q115*(1-N115))</f>
        <v>0</v>
      </c>
      <c r="K115" s="17"/>
      <c r="L115" s="18"/>
      <c r="M115" s="127" t="s">
        <v>173</v>
      </c>
      <c r="N115" s="124">
        <v>0</v>
      </c>
      <c r="O115" s="150">
        <f>IF(E$6="Vivec",40000*Q115*(1-L$7)*(1-N115),0)</f>
        <v>0</v>
      </c>
      <c r="P115" s="145">
        <f t="shared" si="16"/>
        <v>0</v>
      </c>
      <c r="Q115" s="146">
        <f t="shared" si="19"/>
        <v>0</v>
      </c>
    </row>
    <row r="116" spans="1:17" x14ac:dyDescent="0.25">
      <c r="A116" t="s">
        <v>145</v>
      </c>
      <c r="B116" s="116">
        <v>0</v>
      </c>
      <c r="C116" s="17"/>
      <c r="D116" s="17"/>
      <c r="E116" s="17">
        <f t="shared" si="20"/>
        <v>0</v>
      </c>
      <c r="F116" s="17"/>
      <c r="G116" s="17"/>
      <c r="H116" s="17">
        <f t="shared" si="21"/>
        <v>0</v>
      </c>
      <c r="I116" s="17"/>
      <c r="J116" s="17">
        <f t="shared" si="22"/>
        <v>0</v>
      </c>
      <c r="K116" s="17"/>
      <c r="L116" s="18"/>
      <c r="M116" s="127" t="s">
        <v>173</v>
      </c>
      <c r="N116" s="124">
        <v>0</v>
      </c>
      <c r="O116" s="150">
        <f>IF(E$6="Sadrith Mora",40000*Q116*(1-L$7)*(1-N116),0)</f>
        <v>0</v>
      </c>
      <c r="P116" s="145">
        <f t="shared" si="16"/>
        <v>0</v>
      </c>
      <c r="Q116" s="146">
        <f t="shared" si="19"/>
        <v>0</v>
      </c>
    </row>
    <row r="117" spans="1:17" x14ac:dyDescent="0.25">
      <c r="A117" t="s">
        <v>146</v>
      </c>
      <c r="B117" s="116">
        <v>0</v>
      </c>
      <c r="C117" s="17"/>
      <c r="D117" s="17"/>
      <c r="E117" s="17">
        <f t="shared" si="20"/>
        <v>0</v>
      </c>
      <c r="F117" s="17"/>
      <c r="G117" s="17"/>
      <c r="H117" s="17">
        <f t="shared" si="21"/>
        <v>0</v>
      </c>
      <c r="I117" s="17"/>
      <c r="J117" s="17">
        <f t="shared" si="22"/>
        <v>0</v>
      </c>
      <c r="K117" s="17"/>
      <c r="L117" s="18"/>
      <c r="M117" s="127" t="s">
        <v>173</v>
      </c>
      <c r="N117" s="124">
        <v>0</v>
      </c>
      <c r="O117" s="150">
        <f>IF(E$6="Dagon Fel",40000*Q117*(1-L$7)*(1-N117),0)</f>
        <v>0</v>
      </c>
      <c r="P117" s="145">
        <f t="shared" si="16"/>
        <v>0</v>
      </c>
      <c r="Q117" s="146">
        <f t="shared" si="19"/>
        <v>0</v>
      </c>
    </row>
    <row r="118" spans="1:17" ht="15.75" thickBot="1" x14ac:dyDescent="0.3">
      <c r="A118" s="40" t="s">
        <v>147</v>
      </c>
      <c r="B118" s="118">
        <v>0</v>
      </c>
      <c r="C118" s="21"/>
      <c r="D118" s="21"/>
      <c r="E118" s="17">
        <f t="shared" si="20"/>
        <v>0</v>
      </c>
      <c r="F118" s="21"/>
      <c r="G118" s="21"/>
      <c r="H118" s="17">
        <f t="shared" si="21"/>
        <v>0</v>
      </c>
      <c r="I118" s="21"/>
      <c r="J118" s="17">
        <f t="shared" si="22"/>
        <v>0</v>
      </c>
      <c r="K118" s="21"/>
      <c r="L118" s="22"/>
      <c r="M118" s="128" t="s">
        <v>173</v>
      </c>
      <c r="N118" s="125">
        <v>0</v>
      </c>
      <c r="O118" s="150">
        <f>IF(E$6="Port Telvannis",40000*Q118*(1-L$7)*(1-N118),0)</f>
        <v>0</v>
      </c>
      <c r="P118" s="145">
        <f t="shared" si="16"/>
        <v>0</v>
      </c>
      <c r="Q118" s="146">
        <f t="shared" si="19"/>
        <v>0</v>
      </c>
    </row>
    <row r="119" spans="1:17" ht="15.75" thickBot="1" x14ac:dyDescent="0.3">
      <c r="A119" s="132" t="s">
        <v>202</v>
      </c>
      <c r="B119" s="119">
        <f>SUM(P27:P118)</f>
        <v>120</v>
      </c>
      <c r="C119" s="89">
        <f>SUM(C27:C118)</f>
        <v>0</v>
      </c>
      <c r="D119" s="89">
        <f>SUM(D27:D118)</f>
        <v>0</v>
      </c>
      <c r="E119" s="89">
        <f>SUM(E27:E118)</f>
        <v>240</v>
      </c>
      <c r="F119" s="89">
        <f t="shared" ref="F119:L119" si="23">SUM(F27:F118)</f>
        <v>430</v>
      </c>
      <c r="G119" s="89">
        <f t="shared" si="23"/>
        <v>100</v>
      </c>
      <c r="H119" s="89">
        <f t="shared" si="23"/>
        <v>0</v>
      </c>
      <c r="I119" s="89">
        <f t="shared" si="23"/>
        <v>150</v>
      </c>
      <c r="J119" s="89">
        <f t="shared" si="23"/>
        <v>330</v>
      </c>
      <c r="K119" s="89">
        <f t="shared" si="23"/>
        <v>150</v>
      </c>
      <c r="L119" s="89">
        <f t="shared" si="23"/>
        <v>0</v>
      </c>
      <c r="M119" s="133"/>
      <c r="N119" s="134"/>
      <c r="O119" s="151">
        <f>SUM(O27:O118)</f>
        <v>270000</v>
      </c>
      <c r="P119" s="147"/>
      <c r="Q119" s="148"/>
    </row>
    <row r="120" spans="1:17" x14ac:dyDescent="0.25">
      <c r="A120" s="131" t="s">
        <v>216</v>
      </c>
    </row>
    <row r="122" spans="1:17" x14ac:dyDescent="0.25">
      <c r="A122" t="s">
        <v>160</v>
      </c>
    </row>
    <row r="123" spans="1:17" x14ac:dyDescent="0.25">
      <c r="A123" t="s">
        <v>22</v>
      </c>
      <c r="D123" t="s">
        <v>199</v>
      </c>
    </row>
    <row r="124" spans="1:17" x14ac:dyDescent="0.25">
      <c r="A124" t="s">
        <v>23</v>
      </c>
      <c r="B124" s="122">
        <v>0</v>
      </c>
      <c r="C124" t="s">
        <v>178</v>
      </c>
      <c r="D124" t="s">
        <v>200</v>
      </c>
      <c r="E124">
        <f>COUNTIF(M27:M111,"Possédée")+COUNTIF(M27:M111,"Assiégée")</f>
        <v>8</v>
      </c>
    </row>
    <row r="125" spans="1:17" x14ac:dyDescent="0.25">
      <c r="A125" t="s">
        <v>24</v>
      </c>
      <c r="B125" s="122">
        <v>0.05</v>
      </c>
      <c r="C125" t="s">
        <v>179</v>
      </c>
      <c r="D125" t="s">
        <v>217</v>
      </c>
      <c r="E125">
        <f>COUNTIF(M113:M118,"Possédée")+COUNTIF(M113:M118,"Assiégée")</f>
        <v>0</v>
      </c>
    </row>
    <row r="126" spans="1:17" x14ac:dyDescent="0.25">
      <c r="A126" t="s">
        <v>33</v>
      </c>
      <c r="B126" s="122">
        <v>0.1</v>
      </c>
      <c r="C126" t="s">
        <v>180</v>
      </c>
      <c r="D126" s="97" t="s">
        <v>218</v>
      </c>
      <c r="E126">
        <f>COUNTIF(M27:M118,"Possédée")+COUNTIF(M27:M118,"Assiégée")</f>
        <v>8</v>
      </c>
    </row>
    <row r="127" spans="1:17" x14ac:dyDescent="0.25">
      <c r="A127" t="s">
        <v>41</v>
      </c>
      <c r="B127" s="122">
        <v>0.15</v>
      </c>
      <c r="C127" t="s">
        <v>181</v>
      </c>
      <c r="D127" t="s">
        <v>201</v>
      </c>
      <c r="E127">
        <f>COUNTIF(M27:M118,"Assiégée")</f>
        <v>0</v>
      </c>
    </row>
    <row r="128" spans="1:17" x14ac:dyDescent="0.25">
      <c r="A128" t="s">
        <v>49</v>
      </c>
      <c r="B128" s="122">
        <v>0.2</v>
      </c>
      <c r="C128" t="s">
        <v>182</v>
      </c>
    </row>
    <row r="129" spans="1:3" x14ac:dyDescent="0.25">
      <c r="A129" t="s">
        <v>59</v>
      </c>
      <c r="B129" s="122">
        <v>0.25</v>
      </c>
      <c r="C129" t="s">
        <v>183</v>
      </c>
    </row>
    <row r="130" spans="1:3" x14ac:dyDescent="0.25">
      <c r="A130" t="s">
        <v>68</v>
      </c>
      <c r="B130" s="122">
        <v>0.3</v>
      </c>
      <c r="C130" t="s">
        <v>184</v>
      </c>
    </row>
    <row r="131" spans="1:3" x14ac:dyDescent="0.25">
      <c r="A131" t="s">
        <v>77</v>
      </c>
      <c r="B131" s="122">
        <v>0.35</v>
      </c>
      <c r="C131" t="s">
        <v>185</v>
      </c>
    </row>
    <row r="132" spans="1:3" x14ac:dyDescent="0.25">
      <c r="A132" t="s">
        <v>86</v>
      </c>
      <c r="B132" s="122">
        <v>0.4</v>
      </c>
      <c r="C132" t="s">
        <v>186</v>
      </c>
    </row>
    <row r="133" spans="1:3" x14ac:dyDescent="0.25">
      <c r="A133" t="s">
        <v>140</v>
      </c>
      <c r="B133" s="122">
        <v>0.45</v>
      </c>
      <c r="C133" t="s">
        <v>187</v>
      </c>
    </row>
    <row r="134" spans="1:3" x14ac:dyDescent="0.25">
      <c r="A134" t="s">
        <v>142</v>
      </c>
      <c r="B134" s="122">
        <v>0.5</v>
      </c>
      <c r="C134" t="s">
        <v>188</v>
      </c>
    </row>
    <row r="135" spans="1:3" x14ac:dyDescent="0.25">
      <c r="A135" t="s">
        <v>143</v>
      </c>
      <c r="B135" s="122">
        <v>0.55000000000000004</v>
      </c>
      <c r="C135" t="s">
        <v>189</v>
      </c>
    </row>
    <row r="136" spans="1:3" x14ac:dyDescent="0.25">
      <c r="A136" t="s">
        <v>144</v>
      </c>
      <c r="B136" s="122">
        <v>0.6</v>
      </c>
      <c r="C136" t="s">
        <v>190</v>
      </c>
    </row>
    <row r="137" spans="1:3" x14ac:dyDescent="0.25">
      <c r="A137" t="s">
        <v>145</v>
      </c>
      <c r="B137" s="122">
        <v>0.65</v>
      </c>
      <c r="C137" t="s">
        <v>191</v>
      </c>
    </row>
    <row r="138" spans="1:3" x14ac:dyDescent="0.25">
      <c r="A138" t="s">
        <v>146</v>
      </c>
      <c r="B138" s="122">
        <v>0.7</v>
      </c>
      <c r="C138" t="s">
        <v>192</v>
      </c>
    </row>
    <row r="139" spans="1:3" x14ac:dyDescent="0.25">
      <c r="A139" t="s">
        <v>147</v>
      </c>
      <c r="B139" s="122">
        <v>0.75</v>
      </c>
      <c r="C139" t="s">
        <v>193</v>
      </c>
    </row>
    <row r="140" spans="1:3" x14ac:dyDescent="0.25">
      <c r="A140" t="s">
        <v>219</v>
      </c>
      <c r="B140" s="122">
        <v>0.8</v>
      </c>
      <c r="C140" t="s">
        <v>194</v>
      </c>
    </row>
    <row r="141" spans="1:3" x14ac:dyDescent="0.25">
      <c r="B141" s="122">
        <v>0.85</v>
      </c>
      <c r="C141" t="s">
        <v>195</v>
      </c>
    </row>
    <row r="142" spans="1:3" x14ac:dyDescent="0.25">
      <c r="B142" s="122">
        <v>0.9</v>
      </c>
      <c r="C142" t="s">
        <v>196</v>
      </c>
    </row>
    <row r="143" spans="1:3" x14ac:dyDescent="0.25">
      <c r="B143" s="122">
        <v>0.95</v>
      </c>
      <c r="C143" t="s">
        <v>197</v>
      </c>
    </row>
    <row r="144" spans="1:3" x14ac:dyDescent="0.25">
      <c r="B144" s="122">
        <v>1</v>
      </c>
      <c r="C144" t="s">
        <v>198</v>
      </c>
    </row>
    <row r="145" spans="3:3" x14ac:dyDescent="0.25">
      <c r="C145" t="s">
        <v>209</v>
      </c>
    </row>
    <row r="146" spans="3:3" x14ac:dyDescent="0.25">
      <c r="C146" t="s">
        <v>210</v>
      </c>
    </row>
    <row r="147" spans="3:3" x14ac:dyDescent="0.25">
      <c r="C147" t="s">
        <v>211</v>
      </c>
    </row>
    <row r="148" spans="3:3" x14ac:dyDescent="0.25">
      <c r="C148" t="s">
        <v>212</v>
      </c>
    </row>
  </sheetData>
  <mergeCells count="6">
    <mergeCell ref="P25:Q25"/>
    <mergeCell ref="E6:G6"/>
    <mergeCell ref="H6:K6"/>
    <mergeCell ref="C7:D7"/>
    <mergeCell ref="H7:K7"/>
    <mergeCell ref="C25:L25"/>
  </mergeCells>
  <conditionalFormatting sqref="C21:L21">
    <cfRule type="cellIs" dxfId="55" priority="5" operator="greaterThanOrEqual">
      <formula>0</formula>
    </cfRule>
    <cfRule type="cellIs" dxfId="54" priority="6" operator="lessThan">
      <formula>0</formula>
    </cfRule>
  </conditionalFormatting>
  <conditionalFormatting sqref="C13:L13">
    <cfRule type="containsText" dxfId="53" priority="7" operator="containsText" text="Oui">
      <formula>NOT(ISERROR(SEARCH("Oui",C13)))</formula>
    </cfRule>
    <cfRule type="containsText" dxfId="52" priority="8" operator="containsText" text="Non">
      <formula>NOT(ISERROR(SEARCH("Non",C13)))</formula>
    </cfRule>
  </conditionalFormatting>
  <conditionalFormatting sqref="M27:M34 M36:M43 M45:M53 M55:M61 M63:M70 M72:M79 M81:M88 M90:M97 M99:M106 M108:M111 M113:M119">
    <cfRule type="containsText" dxfId="51" priority="2" operator="containsText" text="Non Possédée">
      <formula>NOT(ISERROR(SEARCH("Non Possédée",M27)))</formula>
    </cfRule>
    <cfRule type="containsText" dxfId="50" priority="3" operator="containsText" text="Assiégée">
      <formula>NOT(ISERROR(SEARCH("Assiégée",M27)))</formula>
    </cfRule>
    <cfRule type="containsText" dxfId="49" priority="4" operator="containsText" text="Possédée">
      <formula>NOT(ISERROR(SEARCH("Possédée",M27)))</formula>
    </cfRule>
  </conditionalFormatting>
  <conditionalFormatting sqref="N27:N34 N36:N43 N45:N53 N63:N70 N72:N79 N81:N88 N90:N97 N99:N106 N108:N111 N113:N119 N55:N61">
    <cfRule type="cellIs" dxfId="48" priority="1" operator="greaterThan">
      <formula>0</formula>
    </cfRule>
  </conditionalFormatting>
  <dataValidations count="4">
    <dataValidation type="list" errorStyle="information" allowBlank="1" showInputMessage="1" showErrorMessage="1" sqref="D8 E7">
      <formula1>Année</formula1>
    </dataValidation>
    <dataValidation type="list" allowBlank="1" showInputMessage="1" showErrorMessage="1" sqref="N108:N111 N27:N34 N36:N43 N113:N119 N45:N53 N63:N70 N72:N79 N81:N88 N90:N97 N99:N106 N55:N61">
      <formula1>Malus</formula1>
    </dataValidation>
    <dataValidation type="list" allowBlank="1" showInputMessage="1" showErrorMessage="1" sqref="M99:M106 M27:M34 M36:M43 M45:M53 M55:M61 M63:M70 M72:M79 M81:M88 M90:M97 M108:M111 M113:M119">
      <formula1>"Possédée,Assiégée,Non Possédée"</formula1>
    </dataValidation>
    <dataValidation type="list" allowBlank="1" showInputMessage="1" showErrorMessage="1" sqref="E6">
      <formula1>Provinces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8"/>
  <sheetViews>
    <sheetView workbookViewId="0">
      <selection activeCell="O1" sqref="O1"/>
    </sheetView>
  </sheetViews>
  <sheetFormatPr baseColWidth="10" defaultRowHeight="15" x14ac:dyDescent="0.25"/>
  <cols>
    <col min="1" max="1" width="21" customWidth="1"/>
    <col min="2" max="2" width="6.28515625" customWidth="1"/>
    <col min="13" max="13" width="13.85546875" customWidth="1"/>
    <col min="14" max="14" width="9.85546875" customWidth="1"/>
    <col min="15" max="15" width="10.140625" customWidth="1"/>
    <col min="16" max="16" width="12" customWidth="1"/>
    <col min="17" max="17" width="17.28515625" customWidth="1"/>
  </cols>
  <sheetData>
    <row r="1" spans="1:17" ht="21" x14ac:dyDescent="0.35">
      <c r="A1" s="2" t="s">
        <v>170</v>
      </c>
      <c r="B1" s="1"/>
    </row>
    <row r="3" spans="1:17" x14ac:dyDescent="0.25">
      <c r="A3" t="s">
        <v>141</v>
      </c>
    </row>
    <row r="4" spans="1:17" x14ac:dyDescent="0.25">
      <c r="A4" t="s">
        <v>220</v>
      </c>
    </row>
    <row r="6" spans="1:17" x14ac:dyDescent="0.25">
      <c r="A6" s="94" t="s">
        <v>148</v>
      </c>
      <c r="B6" s="95"/>
      <c r="C6" s="59" t="s">
        <v>149</v>
      </c>
      <c r="E6" s="156" t="s">
        <v>59</v>
      </c>
      <c r="F6" s="157"/>
      <c r="G6" s="158"/>
      <c r="H6" s="164" t="s">
        <v>207</v>
      </c>
      <c r="I6" s="165"/>
      <c r="J6" s="165"/>
      <c r="K6" s="163"/>
      <c r="L6" s="139">
        <v>8</v>
      </c>
      <c r="O6" s="137" t="s">
        <v>206</v>
      </c>
      <c r="Q6" s="97"/>
    </row>
    <row r="7" spans="1:17" x14ac:dyDescent="0.25">
      <c r="A7" s="98" t="s">
        <v>150</v>
      </c>
      <c r="B7" s="96"/>
      <c r="C7" s="166" t="s">
        <v>151</v>
      </c>
      <c r="D7" s="167"/>
      <c r="E7" s="138" t="s">
        <v>178</v>
      </c>
      <c r="F7" s="97"/>
      <c r="H7" s="162" t="s">
        <v>152</v>
      </c>
      <c r="I7" s="162"/>
      <c r="J7" s="162"/>
      <c r="K7" s="163"/>
      <c r="L7" s="140">
        <f>1-(COUNTIF(C13:L13,"Oui" )/10)</f>
        <v>0</v>
      </c>
      <c r="O7" s="153" t="s">
        <v>221</v>
      </c>
      <c r="P7" s="97"/>
      <c r="Q7" s="97"/>
    </row>
    <row r="8" spans="1:17" ht="15.75" thickBot="1" x14ac:dyDescent="0.3">
      <c r="A8" s="98"/>
      <c r="B8" s="96"/>
      <c r="H8" t="s">
        <v>208</v>
      </c>
      <c r="L8" s="152">
        <f>O119</f>
        <v>330000</v>
      </c>
      <c r="P8" s="97"/>
      <c r="Q8" s="97"/>
    </row>
    <row r="9" spans="1:17" ht="15.75" thickBot="1" x14ac:dyDescent="0.3">
      <c r="A9" s="97"/>
      <c r="B9" s="97"/>
      <c r="C9" s="100" t="s">
        <v>8</v>
      </c>
      <c r="D9" s="101" t="s">
        <v>9</v>
      </c>
      <c r="E9" s="101" t="s">
        <v>10</v>
      </c>
      <c r="F9" s="101" t="s">
        <v>137</v>
      </c>
      <c r="G9" s="101" t="s">
        <v>11</v>
      </c>
      <c r="H9" s="101" t="s">
        <v>138</v>
      </c>
      <c r="I9" s="101" t="s">
        <v>139</v>
      </c>
      <c r="J9" s="101" t="s">
        <v>12</v>
      </c>
      <c r="K9" s="101" t="s">
        <v>13</v>
      </c>
      <c r="L9" s="102" t="s">
        <v>105</v>
      </c>
    </row>
    <row r="10" spans="1:17" x14ac:dyDescent="0.25">
      <c r="A10" s="103" t="s">
        <v>153</v>
      </c>
      <c r="B10" s="97"/>
      <c r="C10" s="136">
        <v>120</v>
      </c>
      <c r="D10" s="104">
        <v>120</v>
      </c>
      <c r="E10" s="104">
        <v>120</v>
      </c>
      <c r="F10" s="104">
        <v>120</v>
      </c>
      <c r="G10" s="104">
        <v>120</v>
      </c>
      <c r="H10" s="104">
        <v>120</v>
      </c>
      <c r="I10" s="104">
        <v>120</v>
      </c>
      <c r="J10" s="104">
        <v>120</v>
      </c>
      <c r="K10" s="104">
        <v>120</v>
      </c>
      <c r="L10" s="135">
        <v>120</v>
      </c>
    </row>
    <row r="11" spans="1:17" x14ac:dyDescent="0.25">
      <c r="A11" s="103" t="s">
        <v>154</v>
      </c>
      <c r="B11" s="97"/>
      <c r="C11" s="105">
        <f>15*L6</f>
        <v>120</v>
      </c>
      <c r="D11" s="105">
        <f>15*L6</f>
        <v>120</v>
      </c>
      <c r="E11" s="105">
        <f>15*L6</f>
        <v>120</v>
      </c>
      <c r="F11" s="105">
        <f>15*L6</f>
        <v>120</v>
      </c>
      <c r="G11" s="105">
        <f>15*L6</f>
        <v>120</v>
      </c>
      <c r="H11" s="105">
        <f>15*L6</f>
        <v>120</v>
      </c>
      <c r="I11" s="105">
        <f>15*L6</f>
        <v>120</v>
      </c>
      <c r="J11" s="105">
        <f>15*L6</f>
        <v>120</v>
      </c>
      <c r="K11" s="105">
        <f>15*L6</f>
        <v>120</v>
      </c>
      <c r="L11" s="105">
        <f>15*L6</f>
        <v>120</v>
      </c>
    </row>
    <row r="12" spans="1:17" x14ac:dyDescent="0.25">
      <c r="A12" s="103" t="s">
        <v>155</v>
      </c>
      <c r="B12" s="97"/>
      <c r="C12" s="106">
        <f>C119</f>
        <v>140</v>
      </c>
      <c r="D12" s="106">
        <f>D119</f>
        <v>50</v>
      </c>
      <c r="E12" s="106">
        <f t="shared" ref="E12:L12" si="0">E119</f>
        <v>0</v>
      </c>
      <c r="F12" s="106">
        <f t="shared" si="0"/>
        <v>350</v>
      </c>
      <c r="G12" s="106">
        <f t="shared" si="0"/>
        <v>0</v>
      </c>
      <c r="H12" s="106">
        <f t="shared" si="0"/>
        <v>510</v>
      </c>
      <c r="I12" s="106">
        <f t="shared" si="0"/>
        <v>220</v>
      </c>
      <c r="J12" s="106">
        <f t="shared" si="0"/>
        <v>310</v>
      </c>
      <c r="K12" s="106">
        <f t="shared" si="0"/>
        <v>0</v>
      </c>
      <c r="L12" s="106">
        <f t="shared" si="0"/>
        <v>150</v>
      </c>
    </row>
    <row r="13" spans="1:17" x14ac:dyDescent="0.25">
      <c r="A13" s="88" t="s">
        <v>156</v>
      </c>
      <c r="B13" s="97"/>
      <c r="C13" s="107" t="str">
        <f>IF((C10-C11) &gt;= 0,"Oui","Non")</f>
        <v>Oui</v>
      </c>
      <c r="D13" s="107" t="str">
        <f t="shared" ref="D13:L13" si="1">IF((D10-D11) &gt;= 0,"Oui","Non")</f>
        <v>Oui</v>
      </c>
      <c r="E13" s="107" t="str">
        <f t="shared" si="1"/>
        <v>Oui</v>
      </c>
      <c r="F13" s="107" t="str">
        <f t="shared" si="1"/>
        <v>Oui</v>
      </c>
      <c r="G13" s="107" t="str">
        <f t="shared" si="1"/>
        <v>Oui</v>
      </c>
      <c r="H13" s="107" t="str">
        <f t="shared" si="1"/>
        <v>Oui</v>
      </c>
      <c r="I13" s="107" t="str">
        <f t="shared" si="1"/>
        <v>Oui</v>
      </c>
      <c r="J13" s="107" t="str">
        <f t="shared" si="1"/>
        <v>Oui</v>
      </c>
      <c r="K13" s="107" t="str">
        <f t="shared" si="1"/>
        <v>Oui</v>
      </c>
      <c r="L13" s="107" t="str">
        <f t="shared" si="1"/>
        <v>Oui</v>
      </c>
    </row>
    <row r="14" spans="1:17" x14ac:dyDescent="0.25">
      <c r="A14" s="103" t="s">
        <v>157</v>
      </c>
      <c r="B14" s="97"/>
      <c r="C14" s="108">
        <f>IF(C13="OUI",C10-C11+C12,C10+C12)</f>
        <v>140</v>
      </c>
      <c r="D14" s="108">
        <f>IF(D13="OUI",D10-D11+D12,D10+D12)</f>
        <v>50</v>
      </c>
      <c r="E14" s="108">
        <f t="shared" ref="E14:L14" si="2">IF(E13="OUI",E10-E11+E12,E10+E12)</f>
        <v>0</v>
      </c>
      <c r="F14" s="108">
        <f t="shared" si="2"/>
        <v>350</v>
      </c>
      <c r="G14" s="108">
        <f t="shared" si="2"/>
        <v>0</v>
      </c>
      <c r="H14" s="108">
        <f t="shared" si="2"/>
        <v>510</v>
      </c>
      <c r="I14" s="108">
        <f t="shared" si="2"/>
        <v>220</v>
      </c>
      <c r="J14" s="108">
        <f t="shared" si="2"/>
        <v>310</v>
      </c>
      <c r="K14" s="108">
        <f t="shared" si="2"/>
        <v>0</v>
      </c>
      <c r="L14" s="108">
        <f t="shared" si="2"/>
        <v>150</v>
      </c>
    </row>
    <row r="15" spans="1:17" x14ac:dyDescent="0.25">
      <c r="A15" s="103" t="s">
        <v>162</v>
      </c>
      <c r="B15" s="97"/>
      <c r="C15" s="142"/>
      <c r="D15" s="142"/>
      <c r="E15" s="142"/>
      <c r="F15" s="142"/>
      <c r="G15" s="142"/>
      <c r="H15" s="142"/>
      <c r="I15" s="142"/>
      <c r="J15" s="142"/>
      <c r="K15" s="142"/>
      <c r="L15" s="142"/>
    </row>
    <row r="16" spans="1:17" x14ac:dyDescent="0.25">
      <c r="A16" s="103" t="s">
        <v>165</v>
      </c>
      <c r="B16" s="97"/>
      <c r="C16" s="142"/>
      <c r="D16" s="142"/>
      <c r="E16" s="142"/>
      <c r="F16" s="142"/>
      <c r="G16" s="142"/>
      <c r="H16" s="142"/>
      <c r="I16" s="142"/>
      <c r="J16" s="142"/>
      <c r="K16" s="142"/>
      <c r="L16" s="142"/>
    </row>
    <row r="17" spans="1:17" x14ac:dyDescent="0.25">
      <c r="A17" s="103" t="s">
        <v>163</v>
      </c>
      <c r="B17" s="97"/>
      <c r="C17" s="141"/>
      <c r="D17" s="141"/>
      <c r="E17" s="141"/>
      <c r="F17" s="141"/>
      <c r="G17" s="141"/>
      <c r="H17" s="141"/>
      <c r="I17" s="141"/>
      <c r="J17" s="141"/>
      <c r="K17" s="141"/>
      <c r="L17" s="141"/>
    </row>
    <row r="18" spans="1:17" x14ac:dyDescent="0.25">
      <c r="A18" s="103" t="s">
        <v>164</v>
      </c>
      <c r="B18" s="97"/>
      <c r="C18" s="141"/>
      <c r="D18" s="141"/>
      <c r="E18" s="141"/>
      <c r="F18" s="141"/>
      <c r="G18" s="141"/>
      <c r="H18" s="141"/>
      <c r="I18" s="141"/>
      <c r="J18" s="141"/>
      <c r="K18" s="141"/>
      <c r="L18" s="141"/>
    </row>
    <row r="19" spans="1:17" x14ac:dyDescent="0.25">
      <c r="A19" s="109" t="s">
        <v>158</v>
      </c>
      <c r="B19" s="97"/>
      <c r="C19" s="110">
        <f>C14+C15+C16-C17-C18</f>
        <v>140</v>
      </c>
      <c r="D19" s="110">
        <f>D14+D15+D16-D17-D18</f>
        <v>50</v>
      </c>
      <c r="E19" s="110">
        <f t="shared" ref="E19:K19" si="3">E14+E15+E16-E17-E18</f>
        <v>0</v>
      </c>
      <c r="F19" s="110">
        <f>F14+F15+F16-F17-F18</f>
        <v>350</v>
      </c>
      <c r="G19" s="110">
        <f t="shared" si="3"/>
        <v>0</v>
      </c>
      <c r="H19" s="110">
        <f t="shared" si="3"/>
        <v>510</v>
      </c>
      <c r="I19" s="110">
        <f t="shared" si="3"/>
        <v>220</v>
      </c>
      <c r="J19" s="110">
        <f t="shared" si="3"/>
        <v>310</v>
      </c>
      <c r="K19" s="110">
        <f t="shared" si="3"/>
        <v>0</v>
      </c>
      <c r="L19" s="110">
        <f>L14+L15+L16-L17-L18</f>
        <v>150</v>
      </c>
    </row>
    <row r="20" spans="1:17" x14ac:dyDescent="0.25">
      <c r="A20" s="103" t="s">
        <v>161</v>
      </c>
      <c r="B20" s="97"/>
      <c r="C20" s="111">
        <f>(COUNTIF(M27:M111,"Possédée")+COUNTIF(M27:M111,"Assiégée"))*15</f>
        <v>150</v>
      </c>
      <c r="D20" s="111">
        <f>(COUNTIF(M27:M111,"Possédée")+COUNTIF(M27:M111,"Assiégée"))*15</f>
        <v>150</v>
      </c>
      <c r="E20" s="111">
        <f>(COUNTIF(M27:M111,"Possédée")+COUNTIF(M27:M111,"Assiégée"))*15</f>
        <v>150</v>
      </c>
      <c r="F20" s="111">
        <f>(COUNTIF(M27:M111,"Possédée")+COUNTIF(M27:M111,"Assiégée"))*15</f>
        <v>150</v>
      </c>
      <c r="G20" s="111">
        <f>(COUNTIF(M27:M111,"Possédée")+COUNTIF(M27:M111,"Assiégée"))*15</f>
        <v>150</v>
      </c>
      <c r="H20" s="111">
        <f>(COUNTIF(M27:M111,"Possédée")+COUNTIF(M27:M111,"Assiégée"))*15</f>
        <v>150</v>
      </c>
      <c r="I20" s="111">
        <f>(COUNTIF(M27:M111,"Possédée")+COUNTIF(M27:M111,"Assiégée"))*15</f>
        <v>150</v>
      </c>
      <c r="J20" s="111">
        <f>(COUNTIF(M27:M111,"Possédée")+COUNTIF(M27:M111,"Assiégée"))*15</f>
        <v>150</v>
      </c>
      <c r="K20" s="111">
        <f>(COUNTIF(M27:M111,"Possédée")+COUNTIF(M27:M111,"Assiégée"))*15</f>
        <v>150</v>
      </c>
      <c r="L20" s="111">
        <f>(COUNTIF(M27:M111,"Possédée")+COUNTIF(M27:M111,"Assiégée"))*15</f>
        <v>150</v>
      </c>
    </row>
    <row r="21" spans="1:17" x14ac:dyDescent="0.25">
      <c r="A21" s="103" t="s">
        <v>159</v>
      </c>
      <c r="B21" s="97"/>
      <c r="C21" s="112">
        <f>C19-C20</f>
        <v>-10</v>
      </c>
      <c r="D21" s="112">
        <f t="shared" ref="D21:L21" si="4">D19-D20</f>
        <v>-100</v>
      </c>
      <c r="E21" s="112">
        <f>E19-E20</f>
        <v>-150</v>
      </c>
      <c r="F21" s="112">
        <f>F19-F20</f>
        <v>200</v>
      </c>
      <c r="G21" s="112">
        <f t="shared" si="4"/>
        <v>-150</v>
      </c>
      <c r="H21" s="112">
        <f t="shared" si="4"/>
        <v>360</v>
      </c>
      <c r="I21" s="112">
        <f t="shared" si="4"/>
        <v>70</v>
      </c>
      <c r="J21" s="112">
        <f t="shared" si="4"/>
        <v>160</v>
      </c>
      <c r="K21" s="112">
        <f t="shared" si="4"/>
        <v>-150</v>
      </c>
      <c r="L21" s="112">
        <f t="shared" si="4"/>
        <v>0</v>
      </c>
    </row>
    <row r="22" spans="1:17" x14ac:dyDescent="0.25">
      <c r="A22" s="103"/>
      <c r="B22" s="97"/>
    </row>
    <row r="23" spans="1:17" x14ac:dyDescent="0.25">
      <c r="O23" s="99" t="s">
        <v>176</v>
      </c>
    </row>
    <row r="24" spans="1:17" ht="15.75" thickBot="1" x14ac:dyDescent="0.3">
      <c r="A24" s="114" t="s">
        <v>160</v>
      </c>
      <c r="H24" s="97"/>
      <c r="I24" s="97"/>
      <c r="J24" s="97"/>
    </row>
    <row r="25" spans="1:17" ht="15.75" thickBot="1" x14ac:dyDescent="0.3">
      <c r="A25" s="121" t="s">
        <v>168</v>
      </c>
      <c r="B25" s="75" t="s">
        <v>167</v>
      </c>
      <c r="C25" s="159" t="s">
        <v>169</v>
      </c>
      <c r="D25" s="160"/>
      <c r="E25" s="160"/>
      <c r="F25" s="160"/>
      <c r="G25" s="160"/>
      <c r="H25" s="160"/>
      <c r="I25" s="160"/>
      <c r="J25" s="160"/>
      <c r="K25" s="160"/>
      <c r="L25" s="161"/>
      <c r="M25" s="129" t="s">
        <v>171</v>
      </c>
      <c r="N25" s="115" t="s">
        <v>172</v>
      </c>
      <c r="O25" s="129" t="s">
        <v>213</v>
      </c>
      <c r="P25" s="154" t="s">
        <v>203</v>
      </c>
      <c r="Q25" s="155"/>
    </row>
    <row r="26" spans="1:17" ht="15.75" thickBot="1" x14ac:dyDescent="0.3">
      <c r="A26" s="3" t="s">
        <v>22</v>
      </c>
      <c r="B26" s="120" t="s">
        <v>166</v>
      </c>
      <c r="C26" s="91" t="s">
        <v>8</v>
      </c>
      <c r="D26" s="92" t="s">
        <v>9</v>
      </c>
      <c r="E26" s="92" t="s">
        <v>10</v>
      </c>
      <c r="F26" s="92" t="s">
        <v>137</v>
      </c>
      <c r="G26" s="92" t="s">
        <v>11</v>
      </c>
      <c r="H26" s="92" t="s">
        <v>138</v>
      </c>
      <c r="I26" s="92" t="s">
        <v>139</v>
      </c>
      <c r="J26" s="92" t="s">
        <v>12</v>
      </c>
      <c r="K26" s="92" t="s">
        <v>13</v>
      </c>
      <c r="L26" s="93" t="s">
        <v>105</v>
      </c>
      <c r="M26" s="130" t="s">
        <v>175</v>
      </c>
      <c r="N26" s="118" t="s">
        <v>177</v>
      </c>
      <c r="O26" s="130" t="s">
        <v>214</v>
      </c>
      <c r="P26" s="147" t="s">
        <v>204</v>
      </c>
      <c r="Q26" s="148" t="s">
        <v>205</v>
      </c>
    </row>
    <row r="27" spans="1:17" x14ac:dyDescent="0.25">
      <c r="A27" t="s">
        <v>0</v>
      </c>
      <c r="B27" s="115">
        <v>15</v>
      </c>
      <c r="C27" s="15"/>
      <c r="D27" s="15"/>
      <c r="E27" s="15"/>
      <c r="F27" s="15"/>
      <c r="G27" s="15"/>
      <c r="H27" s="15"/>
      <c r="I27" s="15">
        <f>TRUNC(90*Q27*(1-L7)*(1-N27))</f>
        <v>0</v>
      </c>
      <c r="J27" s="15"/>
      <c r="K27" s="15"/>
      <c r="L27" s="16">
        <f>TRUNC(120*Q27*(1-L7)*(1-N27))</f>
        <v>0</v>
      </c>
      <c r="M27" s="126" t="s">
        <v>173</v>
      </c>
      <c r="N27" s="123">
        <v>0</v>
      </c>
      <c r="O27" s="149">
        <f>IF(E$6="Archipel de l'Automne",60000*Q27*(1-L$7)*(1-N27),30000*Q27*(1-L$7)*(1-N27))</f>
        <v>0</v>
      </c>
      <c r="P27" s="143">
        <f>IF(OR(M27="Possédée",M27="Assiégée"),B27,0)</f>
        <v>0</v>
      </c>
      <c r="Q27" s="144">
        <f>IF(M27="Possédée",1,IF(M27="Assiégée",0.5,0))</f>
        <v>0</v>
      </c>
    </row>
    <row r="28" spans="1:17" x14ac:dyDescent="0.25">
      <c r="A28" t="s">
        <v>1</v>
      </c>
      <c r="B28" s="116">
        <v>15</v>
      </c>
      <c r="C28" s="17"/>
      <c r="D28" s="17"/>
      <c r="E28" s="17"/>
      <c r="F28" s="17"/>
      <c r="G28" s="17">
        <f>TRUNC(30*Q28*(1-L7)*(1-N28))</f>
        <v>0</v>
      </c>
      <c r="H28" s="17"/>
      <c r="I28" s="17"/>
      <c r="J28" s="17"/>
      <c r="K28" s="17"/>
      <c r="L28" s="18">
        <f>TRUNC(140*Q28*(1-L7)*(1-N28))</f>
        <v>0</v>
      </c>
      <c r="M28" s="127" t="s">
        <v>173</v>
      </c>
      <c r="N28" s="124">
        <v>0</v>
      </c>
      <c r="O28" s="150">
        <f>30000*Q28*(1-L$7)*(1-N28)</f>
        <v>0</v>
      </c>
      <c r="P28" s="145">
        <f>IF(OR(M28="Possédée",M28="Assiégée"),B28,0)</f>
        <v>0</v>
      </c>
      <c r="Q28" s="146">
        <f t="shared" ref="Q28:Q91" si="5">IF(M28="Possédée",1,IF(M28="Assiégée",0.5,0))</f>
        <v>0</v>
      </c>
    </row>
    <row r="29" spans="1:17" x14ac:dyDescent="0.25">
      <c r="A29" t="s">
        <v>2</v>
      </c>
      <c r="B29" s="116">
        <v>15</v>
      </c>
      <c r="C29" s="17">
        <f>TRUNC(60*Q29*(1-L7)*(1-N29))</f>
        <v>0</v>
      </c>
      <c r="D29" s="17"/>
      <c r="E29" s="17"/>
      <c r="F29" s="17"/>
      <c r="G29" s="17"/>
      <c r="H29" s="17"/>
      <c r="I29" s="17">
        <f>TRUNC(110*Q29*(1-L7)*(1-N29))</f>
        <v>0</v>
      </c>
      <c r="J29" s="17"/>
      <c r="K29" s="17"/>
      <c r="L29" s="18"/>
      <c r="M29" s="127" t="s">
        <v>173</v>
      </c>
      <c r="N29" s="124">
        <v>0</v>
      </c>
      <c r="O29" s="150">
        <f t="shared" ref="O29:O34" si="6">30000*Q29*(1-L$7)*(1-N29)</f>
        <v>0</v>
      </c>
      <c r="P29" s="145">
        <f t="shared" ref="P29:P92" si="7">IF(OR(M29="Possédée",M29="Assiégée"),B29,0)</f>
        <v>0</v>
      </c>
      <c r="Q29" s="146">
        <f t="shared" si="5"/>
        <v>0</v>
      </c>
    </row>
    <row r="30" spans="1:17" x14ac:dyDescent="0.25">
      <c r="A30" t="s">
        <v>3</v>
      </c>
      <c r="B30" s="116">
        <v>15</v>
      </c>
      <c r="C30" s="17">
        <f>TRUNC(40*Q30*(1-L7)*(1-N30))</f>
        <v>0</v>
      </c>
      <c r="D30" s="17"/>
      <c r="E30" s="17"/>
      <c r="F30" s="17"/>
      <c r="G30" s="17"/>
      <c r="H30" s="17"/>
      <c r="I30" s="17">
        <f>TRUNC(60*Q30*(1-L7)*(1-N30))</f>
        <v>0</v>
      </c>
      <c r="J30" s="17"/>
      <c r="K30" s="17">
        <f>TRUNC(70*Q30*(1-L7)*(1-N30))</f>
        <v>0</v>
      </c>
      <c r="L30" s="18"/>
      <c r="M30" s="127" t="s">
        <v>173</v>
      </c>
      <c r="N30" s="124">
        <v>0</v>
      </c>
      <c r="O30" s="150">
        <f t="shared" si="6"/>
        <v>0</v>
      </c>
      <c r="P30" s="145">
        <f t="shared" si="7"/>
        <v>0</v>
      </c>
      <c r="Q30" s="146">
        <f t="shared" si="5"/>
        <v>0</v>
      </c>
    </row>
    <row r="31" spans="1:17" x14ac:dyDescent="0.25">
      <c r="A31" t="s">
        <v>4</v>
      </c>
      <c r="B31" s="116">
        <v>15</v>
      </c>
      <c r="C31" s="17"/>
      <c r="D31" s="17"/>
      <c r="E31" s="17"/>
      <c r="F31" s="17"/>
      <c r="G31" s="17"/>
      <c r="H31" s="17"/>
      <c r="I31" s="17">
        <f>TRUNC(80*Q31*(1-L7)*(1-N31))</f>
        <v>0</v>
      </c>
      <c r="J31" s="17"/>
      <c r="K31" s="17"/>
      <c r="L31" s="18">
        <f>TRUNC(90*Q31*(1-L7)*(1-N31))</f>
        <v>0</v>
      </c>
      <c r="M31" s="127" t="s">
        <v>173</v>
      </c>
      <c r="N31" s="124">
        <v>0</v>
      </c>
      <c r="O31" s="150">
        <f t="shared" si="6"/>
        <v>0</v>
      </c>
      <c r="P31" s="145">
        <f t="shared" si="7"/>
        <v>0</v>
      </c>
      <c r="Q31" s="146">
        <f t="shared" si="5"/>
        <v>0</v>
      </c>
    </row>
    <row r="32" spans="1:17" x14ac:dyDescent="0.25">
      <c r="A32" t="s">
        <v>5</v>
      </c>
      <c r="B32" s="116">
        <v>15</v>
      </c>
      <c r="C32" s="17"/>
      <c r="D32" s="17"/>
      <c r="E32" s="17"/>
      <c r="F32" s="17"/>
      <c r="G32" s="17"/>
      <c r="H32" s="17"/>
      <c r="I32" s="17"/>
      <c r="J32" s="17"/>
      <c r="K32" s="17">
        <f>TRUNC(170*Q32*(1-L7)*(1-N32))</f>
        <v>0</v>
      </c>
      <c r="L32" s="18"/>
      <c r="M32" s="127" t="s">
        <v>173</v>
      </c>
      <c r="N32" s="124">
        <v>0</v>
      </c>
      <c r="O32" s="150">
        <f t="shared" si="6"/>
        <v>0</v>
      </c>
      <c r="P32" s="145">
        <f t="shared" si="7"/>
        <v>0</v>
      </c>
      <c r="Q32" s="146">
        <f t="shared" si="5"/>
        <v>0</v>
      </c>
    </row>
    <row r="33" spans="1:17" x14ac:dyDescent="0.25">
      <c r="A33" t="s">
        <v>6</v>
      </c>
      <c r="B33" s="116">
        <v>15</v>
      </c>
      <c r="C33" s="17">
        <f>TRUNC(40*Q33*(1-L7)*(1-N33))</f>
        <v>0</v>
      </c>
      <c r="D33" s="17"/>
      <c r="E33" s="17"/>
      <c r="F33" s="17">
        <f>TRUNC(130*Q33*(1-L7)*(1-N33))</f>
        <v>0</v>
      </c>
      <c r="G33" s="17"/>
      <c r="H33" s="17"/>
      <c r="I33" s="17"/>
      <c r="J33" s="17"/>
      <c r="K33" s="17"/>
      <c r="L33" s="18"/>
      <c r="M33" s="127" t="s">
        <v>173</v>
      </c>
      <c r="N33" s="124">
        <v>0</v>
      </c>
      <c r="O33" s="150">
        <f t="shared" si="6"/>
        <v>0</v>
      </c>
      <c r="P33" s="145">
        <f t="shared" si="7"/>
        <v>0</v>
      </c>
      <c r="Q33" s="146">
        <f t="shared" si="5"/>
        <v>0</v>
      </c>
    </row>
    <row r="34" spans="1:17" ht="15.75" thickBot="1" x14ac:dyDescent="0.3">
      <c r="A34" t="s">
        <v>7</v>
      </c>
      <c r="B34" s="116">
        <v>15</v>
      </c>
      <c r="C34" s="17"/>
      <c r="D34" s="17">
        <f>TRUNC(70*Q34*(1-L7)*(1-N34))</f>
        <v>0</v>
      </c>
      <c r="E34" s="17"/>
      <c r="F34" s="17"/>
      <c r="G34" s="17"/>
      <c r="H34" s="17"/>
      <c r="I34" s="17"/>
      <c r="J34" s="17"/>
      <c r="K34" s="17"/>
      <c r="L34" s="18">
        <f>TRUNC(100*Q34*(1-L7)*(1-N34))</f>
        <v>0</v>
      </c>
      <c r="M34" s="127" t="s">
        <v>173</v>
      </c>
      <c r="N34" s="124">
        <v>0</v>
      </c>
      <c r="O34" s="150">
        <f t="shared" si="6"/>
        <v>0</v>
      </c>
      <c r="P34" s="145">
        <f>IF(OR(M34="Possédée",M34="Assiégée"),B34,0)</f>
        <v>0</v>
      </c>
      <c r="Q34" s="146">
        <f t="shared" si="5"/>
        <v>0</v>
      </c>
    </row>
    <row r="35" spans="1:17" ht="15.75" thickBot="1" x14ac:dyDescent="0.3">
      <c r="A35" s="10" t="s">
        <v>23</v>
      </c>
      <c r="B35" s="117" t="s">
        <v>166</v>
      </c>
      <c r="C35" s="91" t="s">
        <v>8</v>
      </c>
      <c r="D35" s="92" t="s">
        <v>9</v>
      </c>
      <c r="E35" s="92" t="s">
        <v>10</v>
      </c>
      <c r="F35" s="92" t="s">
        <v>137</v>
      </c>
      <c r="G35" s="92" t="s">
        <v>11</v>
      </c>
      <c r="H35" s="92" t="s">
        <v>138</v>
      </c>
      <c r="I35" s="92" t="s">
        <v>139</v>
      </c>
      <c r="J35" s="92" t="s">
        <v>12</v>
      </c>
      <c r="K35" s="92" t="s">
        <v>13</v>
      </c>
      <c r="L35" s="93" t="s">
        <v>105</v>
      </c>
      <c r="M35" s="93"/>
      <c r="N35" s="93"/>
      <c r="O35" s="151"/>
      <c r="P35" s="147"/>
      <c r="Q35" s="148"/>
    </row>
    <row r="36" spans="1:17" x14ac:dyDescent="0.25">
      <c r="A36" t="s">
        <v>14</v>
      </c>
      <c r="B36" s="115">
        <v>15</v>
      </c>
      <c r="C36" s="19"/>
      <c r="D36" s="17"/>
      <c r="E36" s="17">
        <f>TRUNC(60*Q36*(1-L7)*(1-N36))</f>
        <v>0</v>
      </c>
      <c r="F36" s="17"/>
      <c r="G36" s="17">
        <f>TRUNC(150*Q36*(1-L7)*(1-N36))</f>
        <v>0</v>
      </c>
      <c r="H36" s="17"/>
      <c r="I36" s="17"/>
      <c r="J36" s="17"/>
      <c r="K36" s="17"/>
      <c r="L36" s="18"/>
      <c r="M36" s="127" t="s">
        <v>173</v>
      </c>
      <c r="N36" s="124">
        <v>0</v>
      </c>
      <c r="O36" s="149">
        <f>IF(E$6="Bordeciel",60000*Q36*(1-L$7)*(1-N36),30000*Q36*(1-L$7)*(1-N36))</f>
        <v>0</v>
      </c>
      <c r="P36" s="145">
        <f t="shared" si="7"/>
        <v>0</v>
      </c>
      <c r="Q36" s="146">
        <f t="shared" si="5"/>
        <v>0</v>
      </c>
    </row>
    <row r="37" spans="1:17" x14ac:dyDescent="0.25">
      <c r="A37" t="s">
        <v>15</v>
      </c>
      <c r="B37" s="116">
        <v>15</v>
      </c>
      <c r="C37" s="19"/>
      <c r="D37" s="17"/>
      <c r="E37" s="17"/>
      <c r="F37" s="17"/>
      <c r="G37" s="17"/>
      <c r="H37" s="17"/>
      <c r="I37" s="17"/>
      <c r="J37" s="17"/>
      <c r="K37" s="17">
        <f>TRUNC(170*Q37*(1-L7)*(1-N37))</f>
        <v>0</v>
      </c>
      <c r="L37" s="18"/>
      <c r="M37" s="127" t="s">
        <v>173</v>
      </c>
      <c r="N37" s="124">
        <v>0</v>
      </c>
      <c r="O37" s="150">
        <f>30000*Q37*(1-L$7)*(1-N37)</f>
        <v>0</v>
      </c>
      <c r="P37" s="145">
        <f t="shared" si="7"/>
        <v>0</v>
      </c>
      <c r="Q37" s="146">
        <f t="shared" si="5"/>
        <v>0</v>
      </c>
    </row>
    <row r="38" spans="1:17" x14ac:dyDescent="0.25">
      <c r="A38" t="s">
        <v>16</v>
      </c>
      <c r="B38" s="116">
        <v>15</v>
      </c>
      <c r="C38" s="19"/>
      <c r="D38" s="17">
        <f>TRUNC(130*Q38*(1-L7)*(1-N38))</f>
        <v>0</v>
      </c>
      <c r="E38" s="17"/>
      <c r="F38" s="17"/>
      <c r="G38" s="17">
        <f>TRUNC(40*Q38*(1-L7)*(1-N38))</f>
        <v>0</v>
      </c>
      <c r="H38" s="17"/>
      <c r="I38" s="17"/>
      <c r="J38" s="17"/>
      <c r="K38" s="17"/>
      <c r="L38" s="18"/>
      <c r="M38" s="127" t="s">
        <v>173</v>
      </c>
      <c r="N38" s="124">
        <v>0</v>
      </c>
      <c r="O38" s="150">
        <f t="shared" ref="O38:O43" si="8">30000*Q38*(1-L$7)*(1-N38)</f>
        <v>0</v>
      </c>
      <c r="P38" s="145">
        <f t="shared" si="7"/>
        <v>0</v>
      </c>
      <c r="Q38" s="146">
        <f t="shared" si="5"/>
        <v>0</v>
      </c>
    </row>
    <row r="39" spans="1:17" x14ac:dyDescent="0.25">
      <c r="A39" t="s">
        <v>17</v>
      </c>
      <c r="B39" s="116">
        <v>15</v>
      </c>
      <c r="C39" s="19">
        <f>TRUNC(70*Q39*(1-L7)*(1-N39))</f>
        <v>0</v>
      </c>
      <c r="D39" s="17">
        <f>TRUNC(60*Q39*(1-L7)*(1-N39))</f>
        <v>0</v>
      </c>
      <c r="E39" s="17">
        <f>TRUNC(40*Q39*(1-L7)*(1-N39))</f>
        <v>0</v>
      </c>
      <c r="F39" s="17"/>
      <c r="G39" s="17"/>
      <c r="H39" s="17"/>
      <c r="I39" s="17"/>
      <c r="J39" s="17"/>
      <c r="K39" s="17"/>
      <c r="L39" s="18"/>
      <c r="M39" s="127" t="s">
        <v>173</v>
      </c>
      <c r="N39" s="124">
        <v>0</v>
      </c>
      <c r="O39" s="150">
        <f t="shared" si="8"/>
        <v>0</v>
      </c>
      <c r="P39" s="145">
        <f t="shared" si="7"/>
        <v>0</v>
      </c>
      <c r="Q39" s="146">
        <f t="shared" si="5"/>
        <v>0</v>
      </c>
    </row>
    <row r="40" spans="1:17" x14ac:dyDescent="0.25">
      <c r="A40" t="s">
        <v>18</v>
      </c>
      <c r="B40" s="116">
        <v>15</v>
      </c>
      <c r="C40" s="19"/>
      <c r="D40" s="17">
        <f>TRUNC(20*Q40*(1-L7)*(1-N40))</f>
        <v>0</v>
      </c>
      <c r="E40" s="17"/>
      <c r="F40" s="17">
        <f>TRUNC(100*Q40*(1-L7)*(1-N40))</f>
        <v>0</v>
      </c>
      <c r="G40" s="17">
        <f>TRUNC(50*Q40*(1-L7)*(1-N40))</f>
        <v>0</v>
      </c>
      <c r="H40" s="17"/>
      <c r="I40" s="17"/>
      <c r="J40" s="17"/>
      <c r="K40" s="17"/>
      <c r="L40" s="18"/>
      <c r="M40" s="127" t="s">
        <v>173</v>
      </c>
      <c r="N40" s="124">
        <v>0</v>
      </c>
      <c r="O40" s="150">
        <f t="shared" si="8"/>
        <v>0</v>
      </c>
      <c r="P40" s="145">
        <f t="shared" si="7"/>
        <v>0</v>
      </c>
      <c r="Q40" s="146">
        <f t="shared" si="5"/>
        <v>0</v>
      </c>
    </row>
    <row r="41" spans="1:17" x14ac:dyDescent="0.25">
      <c r="A41" t="s">
        <v>19</v>
      </c>
      <c r="B41" s="116">
        <v>15</v>
      </c>
      <c r="C41" s="19"/>
      <c r="D41" s="17"/>
      <c r="E41" s="17"/>
      <c r="F41" s="17"/>
      <c r="G41" s="17">
        <f>TRUNC(170*Q41*(1-L7)*(1-N41))</f>
        <v>0</v>
      </c>
      <c r="H41" s="17"/>
      <c r="I41" s="17"/>
      <c r="J41" s="17"/>
      <c r="K41" s="17"/>
      <c r="L41" s="18"/>
      <c r="M41" s="127" t="s">
        <v>173</v>
      </c>
      <c r="N41" s="124">
        <v>0</v>
      </c>
      <c r="O41" s="150">
        <f t="shared" si="8"/>
        <v>0</v>
      </c>
      <c r="P41" s="145">
        <f t="shared" si="7"/>
        <v>0</v>
      </c>
      <c r="Q41" s="146">
        <f t="shared" si="5"/>
        <v>0</v>
      </c>
    </row>
    <row r="42" spans="1:17" x14ac:dyDescent="0.25">
      <c r="A42" t="s">
        <v>20</v>
      </c>
      <c r="B42" s="116">
        <v>15</v>
      </c>
      <c r="C42" s="19"/>
      <c r="D42" s="17"/>
      <c r="E42" s="17">
        <f>TRUNC(90*Q42*(1-L7)*(1-N42))</f>
        <v>0</v>
      </c>
      <c r="F42" s="17">
        <f>TRUNC(40*Q42*(1-L7)*(1-N42))</f>
        <v>0</v>
      </c>
      <c r="G42" s="17"/>
      <c r="H42" s="17"/>
      <c r="I42" s="17"/>
      <c r="J42" s="17"/>
      <c r="K42" s="17">
        <f>TRUNC(40*Q42*(1-L7)*(1-N42))</f>
        <v>0</v>
      </c>
      <c r="L42" s="18"/>
      <c r="M42" s="127" t="s">
        <v>173</v>
      </c>
      <c r="N42" s="124">
        <v>0</v>
      </c>
      <c r="O42" s="150">
        <f t="shared" si="8"/>
        <v>0</v>
      </c>
      <c r="P42" s="145">
        <f t="shared" si="7"/>
        <v>0</v>
      </c>
      <c r="Q42" s="146">
        <f t="shared" si="5"/>
        <v>0</v>
      </c>
    </row>
    <row r="43" spans="1:17" ht="15.75" thickBot="1" x14ac:dyDescent="0.3">
      <c r="A43" t="s">
        <v>21</v>
      </c>
      <c r="B43" s="116">
        <v>15</v>
      </c>
      <c r="C43" s="19"/>
      <c r="D43" s="17"/>
      <c r="E43" s="17"/>
      <c r="F43" s="17"/>
      <c r="G43" s="17">
        <f>TRUNC(70*Q43*(1-L7)*(1-N43))</f>
        <v>0</v>
      </c>
      <c r="H43" s="17"/>
      <c r="I43" s="17"/>
      <c r="J43" s="17"/>
      <c r="K43" s="17">
        <f>TRUNC(100*Q43*(1-L7)*(1-N43))</f>
        <v>0</v>
      </c>
      <c r="L43" s="18"/>
      <c r="M43" s="127" t="s">
        <v>173</v>
      </c>
      <c r="N43" s="124">
        <v>0</v>
      </c>
      <c r="O43" s="150">
        <f t="shared" si="8"/>
        <v>0</v>
      </c>
      <c r="P43" s="145">
        <f t="shared" si="7"/>
        <v>0</v>
      </c>
      <c r="Q43" s="146">
        <f t="shared" si="5"/>
        <v>0</v>
      </c>
    </row>
    <row r="44" spans="1:17" ht="15.75" thickBot="1" x14ac:dyDescent="0.3">
      <c r="A44" s="3" t="s">
        <v>24</v>
      </c>
      <c r="B44" s="117" t="s">
        <v>166</v>
      </c>
      <c r="C44" s="91" t="s">
        <v>8</v>
      </c>
      <c r="D44" s="92" t="s">
        <v>9</v>
      </c>
      <c r="E44" s="92" t="s">
        <v>10</v>
      </c>
      <c r="F44" s="92" t="s">
        <v>137</v>
      </c>
      <c r="G44" s="92" t="s">
        <v>11</v>
      </c>
      <c r="H44" s="92" t="s">
        <v>138</v>
      </c>
      <c r="I44" s="92" t="s">
        <v>139</v>
      </c>
      <c r="J44" s="92" t="s">
        <v>12</v>
      </c>
      <c r="K44" s="92" t="s">
        <v>13</v>
      </c>
      <c r="L44" s="93" t="s">
        <v>105</v>
      </c>
      <c r="M44" s="93"/>
      <c r="N44" s="93"/>
      <c r="O44" s="151"/>
      <c r="P44" s="147"/>
      <c r="Q44" s="148"/>
    </row>
    <row r="45" spans="1:17" x14ac:dyDescent="0.25">
      <c r="A45" t="s">
        <v>25</v>
      </c>
      <c r="B45" s="115">
        <v>15</v>
      </c>
      <c r="C45" s="15"/>
      <c r="D45" s="15">
        <f>TRUNC(20*Q45*(1-L7)*(1-N45))</f>
        <v>0</v>
      </c>
      <c r="E45" s="15"/>
      <c r="F45" s="15"/>
      <c r="G45" s="15"/>
      <c r="H45" s="15"/>
      <c r="I45" s="15">
        <f>TRUNC(150*Q45*(1-L7)*(1-N45))</f>
        <v>0</v>
      </c>
      <c r="J45" s="15"/>
      <c r="K45" s="15"/>
      <c r="L45" s="16">
        <f>TRUNC(40*Q45*(1-L7)*(1-N45))</f>
        <v>0</v>
      </c>
      <c r="M45" s="127" t="s">
        <v>173</v>
      </c>
      <c r="N45" s="124">
        <v>0</v>
      </c>
      <c r="O45" s="149">
        <f>IF(E$6="Cyrodiil",60000*Q45*(1-L$7)*(1-N45),30000*Q45*(1-L$7)*(1-N45))</f>
        <v>0</v>
      </c>
      <c r="P45" s="145">
        <f t="shared" si="7"/>
        <v>0</v>
      </c>
      <c r="Q45" s="146">
        <f t="shared" si="5"/>
        <v>0</v>
      </c>
    </row>
    <row r="46" spans="1:17" x14ac:dyDescent="0.25">
      <c r="A46" t="s">
        <v>27</v>
      </c>
      <c r="B46" s="116">
        <v>15</v>
      </c>
      <c r="C46" s="17"/>
      <c r="D46" s="17">
        <f>TRUNC(120*Q46*(1-L7)*(1-N46))</f>
        <v>0</v>
      </c>
      <c r="E46" s="17">
        <f>TRUNC(50*Q46*(1-L7)*(1-N46))</f>
        <v>0</v>
      </c>
      <c r="F46" s="17"/>
      <c r="G46" s="17"/>
      <c r="H46" s="17"/>
      <c r="I46" s="17"/>
      <c r="J46" s="17"/>
      <c r="K46" s="17"/>
      <c r="L46" s="18"/>
      <c r="M46" s="127" t="s">
        <v>173</v>
      </c>
      <c r="N46" s="124">
        <v>0</v>
      </c>
      <c r="O46" s="150">
        <f>30000*Q46*(1-L$7)*(1-N46)</f>
        <v>0</v>
      </c>
      <c r="P46" s="145">
        <f t="shared" si="7"/>
        <v>0</v>
      </c>
      <c r="Q46" s="146">
        <f t="shared" si="5"/>
        <v>0</v>
      </c>
    </row>
    <row r="47" spans="1:17" x14ac:dyDescent="0.25">
      <c r="A47" t="s">
        <v>26</v>
      </c>
      <c r="B47" s="116">
        <v>15</v>
      </c>
      <c r="C47" s="17"/>
      <c r="D47" s="17">
        <f>TRUNC(60*Q47*(1-L7)*(1-N47))</f>
        <v>0</v>
      </c>
      <c r="E47" s="17">
        <f>TRUNC(110*Q47*(1-L7)*(1-N47))</f>
        <v>0</v>
      </c>
      <c r="F47" s="17"/>
      <c r="G47" s="17"/>
      <c r="H47" s="17"/>
      <c r="I47" s="17"/>
      <c r="J47" s="17"/>
      <c r="K47" s="17"/>
      <c r="L47" s="18"/>
      <c r="M47" s="127" t="s">
        <v>173</v>
      </c>
      <c r="N47" s="124">
        <v>0</v>
      </c>
      <c r="O47" s="150">
        <f>30000*Q47*(1-L$7)*(1-N47)</f>
        <v>0</v>
      </c>
      <c r="P47" s="145">
        <f t="shared" si="7"/>
        <v>0</v>
      </c>
      <c r="Q47" s="146">
        <f t="shared" si="5"/>
        <v>0</v>
      </c>
    </row>
    <row r="48" spans="1:17" x14ac:dyDescent="0.25">
      <c r="A48" t="s">
        <v>28</v>
      </c>
      <c r="B48" s="116">
        <v>15</v>
      </c>
      <c r="C48" s="17"/>
      <c r="D48" s="17">
        <f>TRUNC(170*Q48*(1-L7)*(1-N48))</f>
        <v>0</v>
      </c>
      <c r="E48" s="17"/>
      <c r="F48" s="17"/>
      <c r="G48" s="17"/>
      <c r="H48" s="17"/>
      <c r="I48" s="17"/>
      <c r="J48" s="17"/>
      <c r="K48" s="17"/>
      <c r="L48" s="18"/>
      <c r="M48" s="127" t="s">
        <v>173</v>
      </c>
      <c r="N48" s="124">
        <v>0</v>
      </c>
      <c r="O48" s="150">
        <f t="shared" ref="O48:O53" si="9">30000*Q48*(1-L$7)*(1-N48)</f>
        <v>0</v>
      </c>
      <c r="P48" s="145">
        <f t="shared" si="7"/>
        <v>0</v>
      </c>
      <c r="Q48" s="146">
        <f t="shared" si="5"/>
        <v>0</v>
      </c>
    </row>
    <row r="49" spans="1:17" x14ac:dyDescent="0.25">
      <c r="A49" t="s">
        <v>29</v>
      </c>
      <c r="B49" s="116">
        <v>15</v>
      </c>
      <c r="C49" s="17"/>
      <c r="D49" s="17"/>
      <c r="E49" s="17"/>
      <c r="F49" s="17"/>
      <c r="G49" s="17"/>
      <c r="H49" s="17"/>
      <c r="I49" s="17"/>
      <c r="J49" s="17">
        <f>TRUNC(170*Q49*(1-L7)*(1-N49))</f>
        <v>170</v>
      </c>
      <c r="K49" s="17"/>
      <c r="L49" s="18"/>
      <c r="M49" s="127" t="s">
        <v>174</v>
      </c>
      <c r="N49" s="124">
        <v>0</v>
      </c>
      <c r="O49" s="150">
        <f t="shared" si="9"/>
        <v>30000</v>
      </c>
      <c r="P49" s="145">
        <f t="shared" si="7"/>
        <v>15</v>
      </c>
      <c r="Q49" s="146">
        <f t="shared" si="5"/>
        <v>1</v>
      </c>
    </row>
    <row r="50" spans="1:17" x14ac:dyDescent="0.25">
      <c r="A50" t="s">
        <v>58</v>
      </c>
      <c r="B50" s="116">
        <v>15</v>
      </c>
      <c r="C50" s="17">
        <f>TRUNC(170*Q50*(1-L7)*(1-N50))</f>
        <v>0</v>
      </c>
      <c r="D50" s="17"/>
      <c r="E50" s="17"/>
      <c r="F50" s="17"/>
      <c r="G50" s="17"/>
      <c r="H50" s="17"/>
      <c r="I50" s="17"/>
      <c r="J50" s="17"/>
      <c r="K50" s="17"/>
      <c r="L50" s="18"/>
      <c r="M50" s="127" t="s">
        <v>173</v>
      </c>
      <c r="N50" s="124">
        <v>0</v>
      </c>
      <c r="O50" s="150">
        <f t="shared" si="9"/>
        <v>0</v>
      </c>
      <c r="P50" s="145">
        <f t="shared" si="7"/>
        <v>0</v>
      </c>
      <c r="Q50" s="146">
        <f t="shared" si="5"/>
        <v>0</v>
      </c>
    </row>
    <row r="51" spans="1:17" x14ac:dyDescent="0.25">
      <c r="A51" t="s">
        <v>30</v>
      </c>
      <c r="B51" s="116">
        <v>15</v>
      </c>
      <c r="C51" s="17">
        <f>TRUNC(100*Q51*(1-L7)*(1-N51))</f>
        <v>0</v>
      </c>
      <c r="D51" s="17"/>
      <c r="E51" s="17"/>
      <c r="F51" s="17"/>
      <c r="G51" s="17"/>
      <c r="H51" s="17"/>
      <c r="I51" s="17"/>
      <c r="J51" s="17">
        <f>TRUNC(70*Q51*(1-L7)*(1-N51))</f>
        <v>0</v>
      </c>
      <c r="K51" s="17"/>
      <c r="L51" s="18"/>
      <c r="M51" s="127" t="s">
        <v>173</v>
      </c>
      <c r="N51" s="124">
        <v>0</v>
      </c>
      <c r="O51" s="150">
        <f t="shared" si="9"/>
        <v>0</v>
      </c>
      <c r="P51" s="145">
        <f t="shared" si="7"/>
        <v>0</v>
      </c>
      <c r="Q51" s="146">
        <f t="shared" si="5"/>
        <v>0</v>
      </c>
    </row>
    <row r="52" spans="1:17" x14ac:dyDescent="0.25">
      <c r="A52" t="s">
        <v>31</v>
      </c>
      <c r="B52" s="116">
        <v>15</v>
      </c>
      <c r="C52" s="17">
        <f>TRUNC(90*Q52*(1-L7)*(1-N52))</f>
        <v>0</v>
      </c>
      <c r="D52" s="17"/>
      <c r="E52" s="17">
        <f>TRUNC(40*Q52*(1-L7)*(1-N52))</f>
        <v>0</v>
      </c>
      <c r="F52" s="17">
        <f>TRUNC(40*Q52*(1-L7)*(1-N52))</f>
        <v>0</v>
      </c>
      <c r="G52" s="17"/>
      <c r="H52" s="17"/>
      <c r="I52" s="17"/>
      <c r="J52" s="17"/>
      <c r="K52" s="17"/>
      <c r="L52" s="18"/>
      <c r="M52" s="127" t="s">
        <v>173</v>
      </c>
      <c r="N52" s="124">
        <v>0</v>
      </c>
      <c r="O52" s="150">
        <f t="shared" si="9"/>
        <v>0</v>
      </c>
      <c r="P52" s="145">
        <f t="shared" si="7"/>
        <v>0</v>
      </c>
      <c r="Q52" s="146">
        <f t="shared" si="5"/>
        <v>0</v>
      </c>
    </row>
    <row r="53" spans="1:17" ht="15.75" thickBot="1" x14ac:dyDescent="0.3">
      <c r="A53" t="s">
        <v>32</v>
      </c>
      <c r="B53" s="118">
        <v>15</v>
      </c>
      <c r="C53" s="20">
        <f>TRUNC(110*Q53*(1-L7)*(1-N53))</f>
        <v>110</v>
      </c>
      <c r="D53" s="21"/>
      <c r="E53" s="21"/>
      <c r="F53" s="21"/>
      <c r="G53" s="21"/>
      <c r="H53" s="21">
        <f>TRUNC(60*Q53*(1-L7)*(1-N53))</f>
        <v>60</v>
      </c>
      <c r="I53" s="21"/>
      <c r="J53" s="21"/>
      <c r="K53" s="21"/>
      <c r="L53" s="22"/>
      <c r="M53" s="127" t="s">
        <v>174</v>
      </c>
      <c r="N53" s="124">
        <v>0</v>
      </c>
      <c r="O53" s="150">
        <f t="shared" si="9"/>
        <v>30000</v>
      </c>
      <c r="P53" s="145">
        <f t="shared" si="7"/>
        <v>15</v>
      </c>
      <c r="Q53" s="146">
        <f t="shared" si="5"/>
        <v>1</v>
      </c>
    </row>
    <row r="54" spans="1:17" ht="15.75" thickBot="1" x14ac:dyDescent="0.3">
      <c r="A54" s="3" t="s">
        <v>33</v>
      </c>
      <c r="B54" s="117" t="s">
        <v>166</v>
      </c>
      <c r="C54" s="91" t="s">
        <v>8</v>
      </c>
      <c r="D54" s="92" t="s">
        <v>9</v>
      </c>
      <c r="E54" s="92" t="s">
        <v>10</v>
      </c>
      <c r="F54" s="92" t="s">
        <v>137</v>
      </c>
      <c r="G54" s="92" t="s">
        <v>11</v>
      </c>
      <c r="H54" s="92" t="s">
        <v>138</v>
      </c>
      <c r="I54" s="92" t="s">
        <v>139</v>
      </c>
      <c r="J54" s="92" t="s">
        <v>12</v>
      </c>
      <c r="K54" s="92" t="s">
        <v>13</v>
      </c>
      <c r="L54" s="93" t="s">
        <v>105</v>
      </c>
      <c r="M54" s="93"/>
      <c r="N54" s="93"/>
      <c r="O54" s="151"/>
      <c r="P54" s="147"/>
      <c r="Q54" s="148"/>
    </row>
    <row r="55" spans="1:17" x14ac:dyDescent="0.25">
      <c r="A55" t="s">
        <v>34</v>
      </c>
      <c r="B55" s="115">
        <v>15</v>
      </c>
      <c r="C55" s="15"/>
      <c r="D55" s="15">
        <f>TRUNC(150*Q55*(1-L7)*(1-N55))</f>
        <v>0</v>
      </c>
      <c r="E55" s="15"/>
      <c r="F55" s="15"/>
      <c r="G55" s="15"/>
      <c r="H55" s="15"/>
      <c r="I55" s="15"/>
      <c r="J55" s="15">
        <f>TRUNC(60*Q55*(1-L7)*(1-N55))</f>
        <v>0</v>
      </c>
      <c r="K55" s="15"/>
      <c r="L55" s="16"/>
      <c r="M55" s="127" t="s">
        <v>173</v>
      </c>
      <c r="N55" s="124">
        <v>0</v>
      </c>
      <c r="O55" s="149">
        <f>IF(E$6="Elsweyr",60000*Q55*(1-L$7)*(1-N55),30000*Q55*(1-L$7)*(1-N55))</f>
        <v>0</v>
      </c>
      <c r="P55" s="145">
        <f t="shared" si="7"/>
        <v>0</v>
      </c>
      <c r="Q55" s="146">
        <f t="shared" si="5"/>
        <v>0</v>
      </c>
    </row>
    <row r="56" spans="1:17" x14ac:dyDescent="0.25">
      <c r="A56" t="s">
        <v>35</v>
      </c>
      <c r="B56" s="116">
        <v>15</v>
      </c>
      <c r="C56" s="17"/>
      <c r="D56" s="17"/>
      <c r="E56" s="17"/>
      <c r="F56" s="17">
        <f>TRUNC(70*Q56*(1-L7)*(1-N56))</f>
        <v>0</v>
      </c>
      <c r="G56" s="17"/>
      <c r="H56" s="17">
        <f>TRUNC(100*Q56*(1-L7)*(1-N56))</f>
        <v>0</v>
      </c>
      <c r="I56" s="17"/>
      <c r="J56" s="17"/>
      <c r="K56" s="17"/>
      <c r="L56" s="18"/>
      <c r="M56" s="127" t="s">
        <v>173</v>
      </c>
      <c r="N56" s="124">
        <v>0</v>
      </c>
      <c r="O56" s="150">
        <f t="shared" ref="O56:O61" si="10">30000*Q56*(1-L$7)*(1-N56)</f>
        <v>0</v>
      </c>
      <c r="P56" s="145">
        <f t="shared" si="7"/>
        <v>0</v>
      </c>
      <c r="Q56" s="146">
        <f t="shared" si="5"/>
        <v>0</v>
      </c>
    </row>
    <row r="57" spans="1:17" x14ac:dyDescent="0.25">
      <c r="A57" t="s">
        <v>36</v>
      </c>
      <c r="B57" s="116">
        <v>15</v>
      </c>
      <c r="C57" s="17"/>
      <c r="D57" s="17"/>
      <c r="E57" s="17"/>
      <c r="F57" s="17"/>
      <c r="G57" s="17"/>
      <c r="H57" s="17"/>
      <c r="I57" s="17"/>
      <c r="J57" s="17">
        <f>TRUNC(170*Q57*(1-L7)*(1-N57))</f>
        <v>0</v>
      </c>
      <c r="K57" s="17"/>
      <c r="L57" s="18"/>
      <c r="M57" s="127" t="s">
        <v>173</v>
      </c>
      <c r="N57" s="124">
        <v>0</v>
      </c>
      <c r="O57" s="150">
        <f t="shared" si="10"/>
        <v>0</v>
      </c>
      <c r="P57" s="145">
        <f t="shared" si="7"/>
        <v>0</v>
      </c>
      <c r="Q57" s="146">
        <f t="shared" si="5"/>
        <v>0</v>
      </c>
    </row>
    <row r="58" spans="1:17" x14ac:dyDescent="0.25">
      <c r="A58" t="s">
        <v>37</v>
      </c>
      <c r="B58" s="116">
        <v>15</v>
      </c>
      <c r="C58" s="17"/>
      <c r="D58" s="17"/>
      <c r="E58" s="17"/>
      <c r="F58" s="17"/>
      <c r="G58" s="17"/>
      <c r="H58" s="17">
        <f>TRUNC(170*Q58*(1-L7)*(1-N58))</f>
        <v>0</v>
      </c>
      <c r="I58" s="17"/>
      <c r="J58" s="17"/>
      <c r="K58" s="17"/>
      <c r="L58" s="18"/>
      <c r="M58" s="127" t="s">
        <v>173</v>
      </c>
      <c r="N58" s="124">
        <v>0</v>
      </c>
      <c r="O58" s="150">
        <f t="shared" si="10"/>
        <v>0</v>
      </c>
      <c r="P58" s="145">
        <f t="shared" si="7"/>
        <v>0</v>
      </c>
      <c r="Q58" s="146">
        <f t="shared" si="5"/>
        <v>0</v>
      </c>
    </row>
    <row r="59" spans="1:17" x14ac:dyDescent="0.25">
      <c r="A59" t="s">
        <v>38</v>
      </c>
      <c r="B59" s="116">
        <v>15</v>
      </c>
      <c r="C59" s="17"/>
      <c r="D59" s="17"/>
      <c r="E59" s="17"/>
      <c r="F59" s="17">
        <f>TRUNC(130*Q59*(1-L7)*(1-N59))</f>
        <v>0</v>
      </c>
      <c r="G59" s="17"/>
      <c r="H59" s="17"/>
      <c r="I59" s="17"/>
      <c r="J59" s="17">
        <f>TRUNC(40*Q59*(1-L7)*(1-N59))</f>
        <v>0</v>
      </c>
      <c r="K59" s="17"/>
      <c r="L59" s="18"/>
      <c r="M59" s="127" t="s">
        <v>173</v>
      </c>
      <c r="N59" s="124">
        <v>0</v>
      </c>
      <c r="O59" s="150">
        <f t="shared" si="10"/>
        <v>0</v>
      </c>
      <c r="P59" s="145">
        <f t="shared" si="7"/>
        <v>0</v>
      </c>
      <c r="Q59" s="146">
        <f t="shared" si="5"/>
        <v>0</v>
      </c>
    </row>
    <row r="60" spans="1:17" x14ac:dyDescent="0.25">
      <c r="A60" t="s">
        <v>39</v>
      </c>
      <c r="B60" s="116">
        <v>15</v>
      </c>
      <c r="C60" s="17"/>
      <c r="D60" s="17"/>
      <c r="E60" s="17"/>
      <c r="F60" s="17"/>
      <c r="G60" s="17"/>
      <c r="H60" s="17"/>
      <c r="I60" s="17"/>
      <c r="J60" s="17">
        <f>TRUNC(60*Q60*(1-L7)*(1-N60))</f>
        <v>0</v>
      </c>
      <c r="K60" s="17"/>
      <c r="L60" s="18">
        <f>TRUNC(110*Q60*(1-L7)*(1-N60))</f>
        <v>0</v>
      </c>
      <c r="M60" s="127" t="s">
        <v>173</v>
      </c>
      <c r="N60" s="124">
        <v>0</v>
      </c>
      <c r="O60" s="150">
        <f t="shared" si="10"/>
        <v>0</v>
      </c>
      <c r="P60" s="145">
        <f t="shared" si="7"/>
        <v>0</v>
      </c>
      <c r="Q60" s="146">
        <f t="shared" si="5"/>
        <v>0</v>
      </c>
    </row>
    <row r="61" spans="1:17" ht="15.75" thickBot="1" x14ac:dyDescent="0.3">
      <c r="A61" t="s">
        <v>40</v>
      </c>
      <c r="B61" s="116">
        <v>15</v>
      </c>
      <c r="C61" s="17">
        <f>TRUNC(30*Q61*(1-L7)*(1-N61))</f>
        <v>0</v>
      </c>
      <c r="D61" s="17"/>
      <c r="E61" s="17">
        <f>TRUNC(60*Q61*(1-L7)*(1-N61))</f>
        <v>0</v>
      </c>
      <c r="F61" s="17"/>
      <c r="G61" s="17"/>
      <c r="H61" s="17"/>
      <c r="I61" s="17"/>
      <c r="J61" s="17">
        <f>TRUNC(80*Q61*(1-L7)*(1-N61))</f>
        <v>0</v>
      </c>
      <c r="K61" s="17"/>
      <c r="L61" s="18"/>
      <c r="M61" s="127" t="s">
        <v>173</v>
      </c>
      <c r="N61" s="124">
        <v>0</v>
      </c>
      <c r="O61" s="150">
        <f t="shared" si="10"/>
        <v>0</v>
      </c>
      <c r="P61" s="145">
        <f t="shared" si="7"/>
        <v>0</v>
      </c>
      <c r="Q61" s="146">
        <f t="shared" si="5"/>
        <v>0</v>
      </c>
    </row>
    <row r="62" spans="1:17" ht="15.75" thickBot="1" x14ac:dyDescent="0.3">
      <c r="A62" s="3" t="s">
        <v>41</v>
      </c>
      <c r="B62" s="117" t="s">
        <v>166</v>
      </c>
      <c r="C62" s="91" t="s">
        <v>8</v>
      </c>
      <c r="D62" s="92" t="s">
        <v>9</v>
      </c>
      <c r="E62" s="92" t="s">
        <v>10</v>
      </c>
      <c r="F62" s="92" t="s">
        <v>137</v>
      </c>
      <c r="G62" s="92" t="s">
        <v>11</v>
      </c>
      <c r="H62" s="92" t="s">
        <v>138</v>
      </c>
      <c r="I62" s="92" t="s">
        <v>139</v>
      </c>
      <c r="J62" s="92" t="s">
        <v>12</v>
      </c>
      <c r="K62" s="92" t="s">
        <v>13</v>
      </c>
      <c r="L62" s="93" t="s">
        <v>105</v>
      </c>
      <c r="M62" s="93"/>
      <c r="N62" s="93"/>
      <c r="O62" s="151"/>
      <c r="P62" s="147"/>
      <c r="Q62" s="148"/>
    </row>
    <row r="63" spans="1:17" x14ac:dyDescent="0.25">
      <c r="A63" t="s">
        <v>42</v>
      </c>
      <c r="B63" s="115">
        <v>15</v>
      </c>
      <c r="C63" s="15"/>
      <c r="D63" s="15">
        <f>TRUNC(60*Q63*(1-L7)*(1-N63))</f>
        <v>0</v>
      </c>
      <c r="E63" s="15"/>
      <c r="F63" s="15"/>
      <c r="G63" s="15"/>
      <c r="H63" s="15"/>
      <c r="I63" s="15"/>
      <c r="J63" s="15"/>
      <c r="K63" s="15"/>
      <c r="L63" s="16">
        <f>TRUNC(150*Q63*(1-L7)*(1-N63))</f>
        <v>0</v>
      </c>
      <c r="M63" s="127" t="s">
        <v>173</v>
      </c>
      <c r="N63" s="124">
        <v>0</v>
      </c>
      <c r="O63" s="149">
        <f>IF(E$6="Hauteroche",60000*Q63*(1-L$7)*(1-N63),30000*Q63*(1-L$7)*(1-N63))</f>
        <v>0</v>
      </c>
      <c r="P63" s="145">
        <f t="shared" si="7"/>
        <v>0</v>
      </c>
      <c r="Q63" s="146">
        <f t="shared" si="5"/>
        <v>0</v>
      </c>
    </row>
    <row r="64" spans="1:17" x14ac:dyDescent="0.25">
      <c r="A64" t="s">
        <v>43</v>
      </c>
      <c r="B64" s="116">
        <v>15</v>
      </c>
      <c r="C64" s="17"/>
      <c r="D64" s="17">
        <f>TRUNC(70*Q64*(1-L7)*(1-N64))</f>
        <v>0</v>
      </c>
      <c r="E64" s="17"/>
      <c r="F64" s="17"/>
      <c r="G64" s="17"/>
      <c r="H64" s="17"/>
      <c r="I64" s="17"/>
      <c r="J64" s="17"/>
      <c r="K64" s="17"/>
      <c r="L64" s="18">
        <f>TRUNC(100*Q64*(1-L7)*(1-N64))</f>
        <v>0</v>
      </c>
      <c r="M64" s="127" t="s">
        <v>173</v>
      </c>
      <c r="N64" s="124">
        <v>0</v>
      </c>
      <c r="O64" s="150">
        <f t="shared" ref="O64:O70" si="11">30000*Q64*(1-L$7)*(1-N64)</f>
        <v>0</v>
      </c>
      <c r="P64" s="145">
        <f t="shared" si="7"/>
        <v>0</v>
      </c>
      <c r="Q64" s="146">
        <f t="shared" si="5"/>
        <v>0</v>
      </c>
    </row>
    <row r="65" spans="1:17" x14ac:dyDescent="0.25">
      <c r="A65" t="s">
        <v>44</v>
      </c>
      <c r="B65" s="116">
        <v>15</v>
      </c>
      <c r="C65" s="17"/>
      <c r="D65" s="17">
        <f>TRUNC(80*Q65*(1-L7)*(1-N65))</f>
        <v>0</v>
      </c>
      <c r="E65" s="17">
        <f>TRUNC(20*Q65*(1-L7)*(1-N65))</f>
        <v>0</v>
      </c>
      <c r="F65" s="17"/>
      <c r="G65" s="17"/>
      <c r="H65" s="17"/>
      <c r="I65" s="17"/>
      <c r="J65" s="17"/>
      <c r="K65" s="17">
        <f>TRUNC(70*Q65*(1-L7)*(1-N65))</f>
        <v>0</v>
      </c>
      <c r="L65" s="18"/>
      <c r="M65" s="127" t="s">
        <v>173</v>
      </c>
      <c r="N65" s="124">
        <v>0</v>
      </c>
      <c r="O65" s="150">
        <f t="shared" si="11"/>
        <v>0</v>
      </c>
      <c r="P65" s="145">
        <f t="shared" si="7"/>
        <v>0</v>
      </c>
      <c r="Q65" s="146">
        <f t="shared" si="5"/>
        <v>0</v>
      </c>
    </row>
    <row r="66" spans="1:17" x14ac:dyDescent="0.25">
      <c r="A66" t="s">
        <v>45</v>
      </c>
      <c r="B66" s="116">
        <v>15</v>
      </c>
      <c r="C66" s="17">
        <f>TRUNC(100*Q66*(1-L7)*(1-N66))</f>
        <v>0</v>
      </c>
      <c r="D66" s="17">
        <f>TRUNC(70*Q66*(1-L7)*(1-N66))</f>
        <v>0</v>
      </c>
      <c r="E66" s="17"/>
      <c r="F66" s="17"/>
      <c r="G66" s="17"/>
      <c r="H66" s="17"/>
      <c r="I66" s="17"/>
      <c r="J66" s="17"/>
      <c r="K66" s="17"/>
      <c r="L66" s="18"/>
      <c r="M66" s="127" t="s">
        <v>173</v>
      </c>
      <c r="N66" s="124">
        <v>0</v>
      </c>
      <c r="O66" s="150">
        <f t="shared" si="11"/>
        <v>0</v>
      </c>
      <c r="P66" s="145">
        <f t="shared" si="7"/>
        <v>0</v>
      </c>
      <c r="Q66" s="146">
        <f t="shared" si="5"/>
        <v>0</v>
      </c>
    </row>
    <row r="67" spans="1:17" x14ac:dyDescent="0.25">
      <c r="A67" t="s">
        <v>46</v>
      </c>
      <c r="B67" s="116">
        <v>15</v>
      </c>
      <c r="C67" s="17">
        <f>TRUNC(120*Q67*(1-L7)*(1-N67))</f>
        <v>0</v>
      </c>
      <c r="D67" s="17">
        <f>TRUNC(50*Q67*(1-L7)*(1-N67))</f>
        <v>0</v>
      </c>
      <c r="E67" s="17"/>
      <c r="F67" s="17"/>
      <c r="G67" s="17"/>
      <c r="H67" s="17"/>
      <c r="I67" s="17"/>
      <c r="J67" s="17"/>
      <c r="K67" s="17"/>
      <c r="L67" s="18"/>
      <c r="M67" s="127" t="s">
        <v>173</v>
      </c>
      <c r="N67" s="124">
        <v>0</v>
      </c>
      <c r="O67" s="150">
        <f t="shared" si="11"/>
        <v>0</v>
      </c>
      <c r="P67" s="145">
        <f t="shared" si="7"/>
        <v>0</v>
      </c>
      <c r="Q67" s="146">
        <f t="shared" si="5"/>
        <v>0</v>
      </c>
    </row>
    <row r="68" spans="1:17" x14ac:dyDescent="0.25">
      <c r="A68" t="s">
        <v>47</v>
      </c>
      <c r="B68" s="116">
        <v>15</v>
      </c>
      <c r="C68" s="17"/>
      <c r="D68" s="17"/>
      <c r="E68" s="17"/>
      <c r="F68" s="17"/>
      <c r="G68" s="17">
        <f>TRUNC(100*Q68*(1-L7)*(1-N68))</f>
        <v>0</v>
      </c>
      <c r="H68" s="17"/>
      <c r="I68" s="17"/>
      <c r="J68" s="17"/>
      <c r="K68" s="17"/>
      <c r="L68" s="18">
        <f>TRUNC(70*Q68*(1-L7)*(1-N68))</f>
        <v>0</v>
      </c>
      <c r="M68" s="127" t="s">
        <v>173</v>
      </c>
      <c r="N68" s="124">
        <v>0</v>
      </c>
      <c r="O68" s="150">
        <f t="shared" si="11"/>
        <v>0</v>
      </c>
      <c r="P68" s="145">
        <f t="shared" si="7"/>
        <v>0</v>
      </c>
      <c r="Q68" s="146">
        <f t="shared" si="5"/>
        <v>0</v>
      </c>
    </row>
    <row r="69" spans="1:17" x14ac:dyDescent="0.25">
      <c r="A69" t="s">
        <v>48</v>
      </c>
      <c r="B69" s="116">
        <v>15</v>
      </c>
      <c r="C69" s="17"/>
      <c r="D69" s="17">
        <f>TRUNC(90*Q69*(1-L7)*(1-N69))</f>
        <v>0</v>
      </c>
      <c r="E69" s="17"/>
      <c r="F69" s="17"/>
      <c r="G69" s="17"/>
      <c r="H69" s="17">
        <f>TRUNC(80*Q69*(1-L7)*(1-N69))</f>
        <v>0</v>
      </c>
      <c r="I69" s="17"/>
      <c r="J69" s="17"/>
      <c r="K69" s="17"/>
      <c r="L69" s="18"/>
      <c r="M69" s="127" t="s">
        <v>173</v>
      </c>
      <c r="N69" s="124">
        <v>0</v>
      </c>
      <c r="O69" s="150">
        <f t="shared" si="11"/>
        <v>0</v>
      </c>
      <c r="P69" s="145">
        <f t="shared" si="7"/>
        <v>0</v>
      </c>
      <c r="Q69" s="146">
        <f t="shared" si="5"/>
        <v>0</v>
      </c>
    </row>
    <row r="70" spans="1:17" ht="15.75" thickBot="1" x14ac:dyDescent="0.3">
      <c r="A70" t="s">
        <v>104</v>
      </c>
      <c r="B70" s="116">
        <v>15</v>
      </c>
      <c r="C70" s="17"/>
      <c r="D70" s="17"/>
      <c r="E70" s="17"/>
      <c r="F70" s="17"/>
      <c r="G70" s="17">
        <f>TRUNC(70*Q70*(1-L7)*(1-N70))</f>
        <v>0</v>
      </c>
      <c r="H70" s="17">
        <f>TRUNC(100*Q70*(1-L7)*(1-N70))</f>
        <v>0</v>
      </c>
      <c r="I70" s="17"/>
      <c r="J70" s="17"/>
      <c r="K70" s="17"/>
      <c r="L70" s="18"/>
      <c r="M70" s="127" t="s">
        <v>173</v>
      </c>
      <c r="N70" s="124">
        <v>0</v>
      </c>
      <c r="O70" s="150">
        <f t="shared" si="11"/>
        <v>0</v>
      </c>
      <c r="P70" s="145">
        <f t="shared" si="7"/>
        <v>0</v>
      </c>
      <c r="Q70" s="146">
        <f t="shared" si="5"/>
        <v>0</v>
      </c>
    </row>
    <row r="71" spans="1:17" ht="15.75" thickBot="1" x14ac:dyDescent="0.3">
      <c r="A71" s="3" t="s">
        <v>49</v>
      </c>
      <c r="B71" s="117" t="s">
        <v>166</v>
      </c>
      <c r="C71" s="91" t="s">
        <v>8</v>
      </c>
      <c r="D71" s="92" t="s">
        <v>9</v>
      </c>
      <c r="E71" s="92" t="s">
        <v>10</v>
      </c>
      <c r="F71" s="92" t="s">
        <v>137</v>
      </c>
      <c r="G71" s="92" t="s">
        <v>11</v>
      </c>
      <c r="H71" s="92" t="s">
        <v>138</v>
      </c>
      <c r="I71" s="92" t="s">
        <v>139</v>
      </c>
      <c r="J71" s="92" t="s">
        <v>12</v>
      </c>
      <c r="K71" s="92" t="s">
        <v>13</v>
      </c>
      <c r="L71" s="93" t="s">
        <v>105</v>
      </c>
      <c r="M71" s="93"/>
      <c r="N71" s="93"/>
      <c r="O71" s="151"/>
      <c r="P71" s="147"/>
      <c r="Q71" s="148"/>
    </row>
    <row r="72" spans="1:17" x14ac:dyDescent="0.25">
      <c r="A72" t="s">
        <v>50</v>
      </c>
      <c r="B72" s="115">
        <v>15</v>
      </c>
      <c r="C72" s="15"/>
      <c r="D72" s="15"/>
      <c r="E72" s="15"/>
      <c r="F72" s="15">
        <f>TRUNC(110*Q72*(1-L7)*(1-N72))</f>
        <v>0</v>
      </c>
      <c r="G72" s="15"/>
      <c r="H72" s="15"/>
      <c r="I72" s="15">
        <f>TRUNC(100*Q72*(1-L7)*(1-N72))</f>
        <v>0</v>
      </c>
      <c r="J72" s="15"/>
      <c r="K72" s="15"/>
      <c r="L72" s="16"/>
      <c r="M72" s="127" t="s">
        <v>173</v>
      </c>
      <c r="N72" s="124">
        <v>0</v>
      </c>
      <c r="O72" s="149">
        <f>IF(E$6="Lenclume",60000*Q72*(1-L$7)*(1-N72),30000*Q72*(1-L$7)*(1-N72))</f>
        <v>0</v>
      </c>
      <c r="P72" s="145">
        <f t="shared" si="7"/>
        <v>0</v>
      </c>
      <c r="Q72" s="146">
        <f t="shared" si="5"/>
        <v>0</v>
      </c>
    </row>
    <row r="73" spans="1:17" x14ac:dyDescent="0.25">
      <c r="A73" t="s">
        <v>51</v>
      </c>
      <c r="B73" s="116">
        <v>15</v>
      </c>
      <c r="C73" s="17"/>
      <c r="D73" s="17"/>
      <c r="E73" s="17"/>
      <c r="F73" s="17"/>
      <c r="G73" s="17">
        <f>TRUNC(60*Q73*(1-L7)*(1-N73))</f>
        <v>0</v>
      </c>
      <c r="H73" s="17"/>
      <c r="I73" s="17"/>
      <c r="J73" s="17">
        <f>TRUNC(110*Q73*(1-L7)*(1-N73))</f>
        <v>0</v>
      </c>
      <c r="K73" s="17"/>
      <c r="L73" s="18"/>
      <c r="M73" s="127" t="s">
        <v>173</v>
      </c>
      <c r="N73" s="124">
        <v>0</v>
      </c>
      <c r="O73" s="150">
        <f t="shared" ref="O73:O79" si="12">30000*Q73*(1-L$7)*(1-N73)</f>
        <v>0</v>
      </c>
      <c r="P73" s="145">
        <f t="shared" si="7"/>
        <v>0</v>
      </c>
      <c r="Q73" s="146">
        <f t="shared" si="5"/>
        <v>0</v>
      </c>
    </row>
    <row r="74" spans="1:17" x14ac:dyDescent="0.25">
      <c r="A74" t="s">
        <v>52</v>
      </c>
      <c r="B74" s="116">
        <v>15</v>
      </c>
      <c r="C74" s="17"/>
      <c r="D74" s="17"/>
      <c r="E74" s="17"/>
      <c r="F74" s="17">
        <f>TRUNC(120*Q74*(1-L7)*(1-N74))</f>
        <v>0</v>
      </c>
      <c r="G74" s="17"/>
      <c r="H74" s="17"/>
      <c r="I74" s="17"/>
      <c r="J74" s="17">
        <f>TRUNC(50*Q74*(1-L7)*(1-N74))</f>
        <v>0</v>
      </c>
      <c r="K74" s="17"/>
      <c r="L74" s="18"/>
      <c r="M74" s="127" t="s">
        <v>173</v>
      </c>
      <c r="N74" s="124">
        <v>0</v>
      </c>
      <c r="O74" s="150">
        <f t="shared" si="12"/>
        <v>0</v>
      </c>
      <c r="P74" s="145">
        <f t="shared" si="7"/>
        <v>0</v>
      </c>
      <c r="Q74" s="146">
        <f t="shared" si="5"/>
        <v>0</v>
      </c>
    </row>
    <row r="75" spans="1:17" x14ac:dyDescent="0.25">
      <c r="A75" t="s">
        <v>53</v>
      </c>
      <c r="B75" s="116">
        <v>15</v>
      </c>
      <c r="C75" s="17"/>
      <c r="D75" s="17"/>
      <c r="E75" s="17"/>
      <c r="F75" s="17">
        <f>TRUNC(170*Q75*(1-L7)*(1-N75))</f>
        <v>0</v>
      </c>
      <c r="G75" s="17"/>
      <c r="H75" s="17"/>
      <c r="I75" s="17"/>
      <c r="J75" s="17"/>
      <c r="K75" s="17"/>
      <c r="L75" s="18"/>
      <c r="M75" s="127" t="s">
        <v>173</v>
      </c>
      <c r="N75" s="124">
        <v>0</v>
      </c>
      <c r="O75" s="150">
        <f t="shared" si="12"/>
        <v>0</v>
      </c>
      <c r="P75" s="145">
        <f t="shared" si="7"/>
        <v>0</v>
      </c>
      <c r="Q75" s="146">
        <f t="shared" si="5"/>
        <v>0</v>
      </c>
    </row>
    <row r="76" spans="1:17" x14ac:dyDescent="0.25">
      <c r="A76" t="s">
        <v>54</v>
      </c>
      <c r="B76" s="116">
        <v>15</v>
      </c>
      <c r="C76" s="17"/>
      <c r="D76" s="17"/>
      <c r="E76" s="17"/>
      <c r="F76" s="17"/>
      <c r="G76" s="17"/>
      <c r="H76" s="17"/>
      <c r="I76" s="17"/>
      <c r="J76" s="17">
        <f>TRUNC(170*Q76*(1-L7)*(1-N76))</f>
        <v>0</v>
      </c>
      <c r="K76" s="17"/>
      <c r="L76" s="18"/>
      <c r="M76" s="127" t="s">
        <v>173</v>
      </c>
      <c r="N76" s="124">
        <v>0</v>
      </c>
      <c r="O76" s="150">
        <f t="shared" si="12"/>
        <v>0</v>
      </c>
      <c r="P76" s="145">
        <f t="shared" si="7"/>
        <v>0</v>
      </c>
      <c r="Q76" s="146">
        <f t="shared" si="5"/>
        <v>0</v>
      </c>
    </row>
    <row r="77" spans="1:17" x14ac:dyDescent="0.25">
      <c r="A77" t="s">
        <v>55</v>
      </c>
      <c r="B77" s="116">
        <v>15</v>
      </c>
      <c r="C77" s="17"/>
      <c r="D77" s="17"/>
      <c r="E77" s="17">
        <f>TRUNC(120*Q77*(1-L7)*(1-N77))</f>
        <v>0</v>
      </c>
      <c r="F77" s="17"/>
      <c r="G77" s="17"/>
      <c r="H77" s="17"/>
      <c r="I77" s="17"/>
      <c r="J77" s="17"/>
      <c r="K77" s="17">
        <f>TRUNC(50*Q77*(1-L7)*(1-N77))</f>
        <v>0</v>
      </c>
      <c r="L77" s="18"/>
      <c r="M77" s="127" t="s">
        <v>173</v>
      </c>
      <c r="N77" s="124">
        <v>0</v>
      </c>
      <c r="O77" s="150">
        <f t="shared" si="12"/>
        <v>0</v>
      </c>
      <c r="P77" s="145">
        <f t="shared" si="7"/>
        <v>0</v>
      </c>
      <c r="Q77" s="146">
        <f t="shared" si="5"/>
        <v>0</v>
      </c>
    </row>
    <row r="78" spans="1:17" x14ac:dyDescent="0.25">
      <c r="A78" t="s">
        <v>56</v>
      </c>
      <c r="B78" s="116">
        <v>15</v>
      </c>
      <c r="C78" s="17"/>
      <c r="D78" s="17"/>
      <c r="E78" s="17">
        <f>TRUNC(120*Q78*(1-L7)*(1-N78))</f>
        <v>0</v>
      </c>
      <c r="F78" s="17"/>
      <c r="G78" s="17"/>
      <c r="H78" s="17"/>
      <c r="I78" s="17">
        <f>TRUNC(50*Q78*(1-L7)*(1-N78))</f>
        <v>0</v>
      </c>
      <c r="J78" s="17"/>
      <c r="K78" s="17"/>
      <c r="L78" s="18"/>
      <c r="M78" s="127" t="s">
        <v>173</v>
      </c>
      <c r="N78" s="124">
        <v>0</v>
      </c>
      <c r="O78" s="150">
        <f t="shared" si="12"/>
        <v>0</v>
      </c>
      <c r="P78" s="145">
        <f t="shared" si="7"/>
        <v>0</v>
      </c>
      <c r="Q78" s="146">
        <f t="shared" si="5"/>
        <v>0</v>
      </c>
    </row>
    <row r="79" spans="1:17" ht="15.75" thickBot="1" x14ac:dyDescent="0.3">
      <c r="A79" t="s">
        <v>57</v>
      </c>
      <c r="B79" s="116">
        <v>15</v>
      </c>
      <c r="C79" s="17"/>
      <c r="D79" s="17"/>
      <c r="E79" s="17"/>
      <c r="F79" s="17">
        <f>TRUNC(30*Q79*(1-L7)*(1-N79))</f>
        <v>0</v>
      </c>
      <c r="G79" s="17">
        <f>TRUNC(40*Q79*(1-L7)*(1-N79))</f>
        <v>0</v>
      </c>
      <c r="H79" s="17"/>
      <c r="I79" s="17"/>
      <c r="J79" s="17"/>
      <c r="K79" s="17">
        <f>TRUNC(100*Q79*(1-L7)*(1-N79))</f>
        <v>0</v>
      </c>
      <c r="L79" s="18"/>
      <c r="M79" s="127" t="s">
        <v>173</v>
      </c>
      <c r="N79" s="124">
        <v>0</v>
      </c>
      <c r="O79" s="150">
        <f t="shared" si="12"/>
        <v>0</v>
      </c>
      <c r="P79" s="145">
        <f t="shared" si="7"/>
        <v>0</v>
      </c>
      <c r="Q79" s="146">
        <f t="shared" si="5"/>
        <v>0</v>
      </c>
    </row>
    <row r="80" spans="1:17" ht="15.75" thickBot="1" x14ac:dyDescent="0.3">
      <c r="A80" s="3" t="s">
        <v>59</v>
      </c>
      <c r="B80" s="117" t="s">
        <v>166</v>
      </c>
      <c r="C80" s="91" t="s">
        <v>8</v>
      </c>
      <c r="D80" s="92" t="s">
        <v>9</v>
      </c>
      <c r="E80" s="92" t="s">
        <v>10</v>
      </c>
      <c r="F80" s="92" t="s">
        <v>137</v>
      </c>
      <c r="G80" s="92" t="s">
        <v>11</v>
      </c>
      <c r="H80" s="92" t="s">
        <v>138</v>
      </c>
      <c r="I80" s="92" t="s">
        <v>139</v>
      </c>
      <c r="J80" s="92" t="s">
        <v>12</v>
      </c>
      <c r="K80" s="92" t="s">
        <v>13</v>
      </c>
      <c r="L80" s="93" t="s">
        <v>105</v>
      </c>
      <c r="M80" s="93"/>
      <c r="N80" s="93"/>
      <c r="O80" s="151"/>
      <c r="P80" s="147"/>
      <c r="Q80" s="148"/>
    </row>
    <row r="81" spans="1:17" x14ac:dyDescent="0.25">
      <c r="A81" t="s">
        <v>60</v>
      </c>
      <c r="B81" s="115">
        <v>15</v>
      </c>
      <c r="C81" s="15"/>
      <c r="D81" s="15"/>
      <c r="E81" s="15"/>
      <c r="F81" s="15">
        <f>TRUNC(40*Q81*(1-L7)*(1-N81))</f>
        <v>40</v>
      </c>
      <c r="G81" s="15"/>
      <c r="H81" s="15">
        <f>TRUNC(120*Q81*(1-L7)*(1-N81))</f>
        <v>120</v>
      </c>
      <c r="I81" s="15">
        <f>TRUNC(TRUNC(20*Q81*(1-L7)*(1-N81)))</f>
        <v>20</v>
      </c>
      <c r="J81" s="15"/>
      <c r="K81" s="15"/>
      <c r="L81" s="16">
        <f>TRUNC(20*Q81*(1-L7)*(1-N81))</f>
        <v>20</v>
      </c>
      <c r="M81" s="127" t="s">
        <v>174</v>
      </c>
      <c r="N81" s="124">
        <v>0</v>
      </c>
      <c r="O81" s="149">
        <f>IF(E$6="Marais Noir",60000*Q81*(1-L$7)*(1-N81),30000*Q81*(1-L$7)*(1-N81))</f>
        <v>60000</v>
      </c>
      <c r="P81" s="145">
        <f t="shared" si="7"/>
        <v>15</v>
      </c>
      <c r="Q81" s="146">
        <f t="shared" si="5"/>
        <v>1</v>
      </c>
    </row>
    <row r="82" spans="1:17" x14ac:dyDescent="0.25">
      <c r="A82" t="s">
        <v>61</v>
      </c>
      <c r="B82" s="116">
        <v>15</v>
      </c>
      <c r="C82" s="17">
        <f>TRUNC(30*Q82*(1-L7)*(1-N82))</f>
        <v>30</v>
      </c>
      <c r="D82" s="17"/>
      <c r="E82" s="17"/>
      <c r="F82" s="17"/>
      <c r="G82" s="17"/>
      <c r="H82" s="17"/>
      <c r="I82" s="17"/>
      <c r="J82" s="17">
        <f>TRUNC(140*Q82*(1-L7)*(1-N82))</f>
        <v>140</v>
      </c>
      <c r="K82" s="17"/>
      <c r="L82" s="18"/>
      <c r="M82" s="127" t="s">
        <v>174</v>
      </c>
      <c r="N82" s="124">
        <v>0</v>
      </c>
      <c r="O82" s="150">
        <f t="shared" ref="O82:O88" si="13">30000*Q82*(1-L$7)*(1-N82)</f>
        <v>30000</v>
      </c>
      <c r="P82" s="145">
        <f t="shared" si="7"/>
        <v>15</v>
      </c>
      <c r="Q82" s="146">
        <f t="shared" si="5"/>
        <v>1</v>
      </c>
    </row>
    <row r="83" spans="1:17" x14ac:dyDescent="0.25">
      <c r="A83" t="s">
        <v>62</v>
      </c>
      <c r="B83" s="116">
        <v>15</v>
      </c>
      <c r="C83" s="17"/>
      <c r="D83" s="17"/>
      <c r="E83" s="17"/>
      <c r="F83" s="17">
        <f>TRUNC(170*Q83*(1-L7)*(1-N83))</f>
        <v>170</v>
      </c>
      <c r="G83" s="17"/>
      <c r="H83" s="17"/>
      <c r="I83" s="17"/>
      <c r="J83" s="17"/>
      <c r="K83" s="17"/>
      <c r="L83" s="18"/>
      <c r="M83" s="127" t="s">
        <v>174</v>
      </c>
      <c r="N83" s="124">
        <v>0</v>
      </c>
      <c r="O83" s="150">
        <f t="shared" si="13"/>
        <v>30000</v>
      </c>
      <c r="P83" s="145">
        <f t="shared" si="7"/>
        <v>15</v>
      </c>
      <c r="Q83" s="146">
        <f t="shared" si="5"/>
        <v>1</v>
      </c>
    </row>
    <row r="84" spans="1:17" x14ac:dyDescent="0.25">
      <c r="A84" t="s">
        <v>63</v>
      </c>
      <c r="B84" s="116">
        <v>15</v>
      </c>
      <c r="C84" s="17"/>
      <c r="D84" s="17">
        <f>TRUNC(50*Q84*(1-L7)*(1-N84))</f>
        <v>50</v>
      </c>
      <c r="E84" s="17"/>
      <c r="F84" s="17">
        <f>TRUNC(100*Q84*(1-L7)*(1-N84))</f>
        <v>100</v>
      </c>
      <c r="G84" s="17"/>
      <c r="H84" s="17">
        <f>TRUNC(20*Q84*(1-L7)*(1-N84))</f>
        <v>20</v>
      </c>
      <c r="I84" s="17"/>
      <c r="J84" s="17"/>
      <c r="K84" s="17"/>
      <c r="L84" s="18"/>
      <c r="M84" s="127" t="s">
        <v>174</v>
      </c>
      <c r="N84" s="124">
        <v>0</v>
      </c>
      <c r="O84" s="150">
        <f t="shared" si="13"/>
        <v>30000</v>
      </c>
      <c r="P84" s="145">
        <f t="shared" si="7"/>
        <v>15</v>
      </c>
      <c r="Q84" s="146">
        <f t="shared" si="5"/>
        <v>1</v>
      </c>
    </row>
    <row r="85" spans="1:17" x14ac:dyDescent="0.25">
      <c r="A85" t="s">
        <v>64</v>
      </c>
      <c r="B85" s="116">
        <v>15</v>
      </c>
      <c r="C85" s="17"/>
      <c r="D85" s="17"/>
      <c r="E85" s="17"/>
      <c r="F85" s="17">
        <f>TRUNC(40*Q85*(1-L7)*(1-N85))</f>
        <v>40</v>
      </c>
      <c r="G85" s="17"/>
      <c r="H85" s="17"/>
      <c r="I85" s="17"/>
      <c r="J85" s="17"/>
      <c r="K85" s="17"/>
      <c r="L85" s="18">
        <f>TRUNC(130*Q85*(1-L7)*(1-N85))</f>
        <v>130</v>
      </c>
      <c r="M85" s="127" t="s">
        <v>174</v>
      </c>
      <c r="N85" s="124">
        <v>0</v>
      </c>
      <c r="O85" s="150">
        <f t="shared" si="13"/>
        <v>30000</v>
      </c>
      <c r="P85" s="145">
        <f t="shared" si="7"/>
        <v>15</v>
      </c>
      <c r="Q85" s="146">
        <f t="shared" si="5"/>
        <v>1</v>
      </c>
    </row>
    <row r="86" spans="1:17" x14ac:dyDescent="0.25">
      <c r="A86" t="s">
        <v>65</v>
      </c>
      <c r="B86" s="116">
        <v>15</v>
      </c>
      <c r="C86" s="17"/>
      <c r="D86" s="17"/>
      <c r="E86" s="17"/>
      <c r="F86" s="17"/>
      <c r="G86" s="17"/>
      <c r="H86" s="17">
        <f>TRUNC(170*Q86*(1-L7)*(1-N86))</f>
        <v>170</v>
      </c>
      <c r="I86" s="17"/>
      <c r="J86" s="17"/>
      <c r="K86" s="17"/>
      <c r="L86" s="18"/>
      <c r="M86" s="127" t="s">
        <v>174</v>
      </c>
      <c r="N86" s="124">
        <v>0</v>
      </c>
      <c r="O86" s="150">
        <f t="shared" si="13"/>
        <v>30000</v>
      </c>
      <c r="P86" s="145">
        <f t="shared" si="7"/>
        <v>15</v>
      </c>
      <c r="Q86" s="146">
        <f t="shared" si="5"/>
        <v>1</v>
      </c>
    </row>
    <row r="87" spans="1:17" x14ac:dyDescent="0.25">
      <c r="A87" t="s">
        <v>66</v>
      </c>
      <c r="B87" s="116">
        <v>15</v>
      </c>
      <c r="C87" s="17"/>
      <c r="D87" s="17"/>
      <c r="E87" s="17"/>
      <c r="F87" s="17"/>
      <c r="G87" s="17"/>
      <c r="H87" s="17">
        <f>TRUNC(40*Q87*(1-L7)*(1-N87))</f>
        <v>40</v>
      </c>
      <c r="I87" s="17">
        <f>TRUNC(130*Q87*(1-L7)*(1-N87))</f>
        <v>130</v>
      </c>
      <c r="J87" s="17"/>
      <c r="K87" s="17"/>
      <c r="L87" s="18"/>
      <c r="M87" s="127" t="s">
        <v>174</v>
      </c>
      <c r="N87" s="124">
        <v>0</v>
      </c>
      <c r="O87" s="150">
        <f t="shared" si="13"/>
        <v>30000</v>
      </c>
      <c r="P87" s="145">
        <f t="shared" si="7"/>
        <v>15</v>
      </c>
      <c r="Q87" s="146">
        <f t="shared" si="5"/>
        <v>1</v>
      </c>
    </row>
    <row r="88" spans="1:17" ht="15.75" thickBot="1" x14ac:dyDescent="0.3">
      <c r="A88" t="s">
        <v>67</v>
      </c>
      <c r="B88" s="116">
        <v>15</v>
      </c>
      <c r="C88" s="17"/>
      <c r="D88" s="17"/>
      <c r="E88" s="17"/>
      <c r="F88" s="17"/>
      <c r="G88" s="17"/>
      <c r="H88" s="17">
        <f>TRUNC(100*Q88*(1-L7)*(1-N88))</f>
        <v>100</v>
      </c>
      <c r="I88" s="17">
        <f>TRUNC(70*Q88*(1-L7)*(1-N88))</f>
        <v>70</v>
      </c>
      <c r="J88" s="17"/>
      <c r="K88" s="17"/>
      <c r="L88" s="18"/>
      <c r="M88" s="127" t="s">
        <v>174</v>
      </c>
      <c r="N88" s="124">
        <v>0</v>
      </c>
      <c r="O88" s="150">
        <f t="shared" si="13"/>
        <v>30000</v>
      </c>
      <c r="P88" s="145">
        <f t="shared" si="7"/>
        <v>15</v>
      </c>
      <c r="Q88" s="146">
        <f t="shared" si="5"/>
        <v>1</v>
      </c>
    </row>
    <row r="89" spans="1:17" ht="15.75" thickBot="1" x14ac:dyDescent="0.3">
      <c r="A89" s="3" t="s">
        <v>68</v>
      </c>
      <c r="B89" s="117" t="s">
        <v>166</v>
      </c>
      <c r="C89" s="91" t="s">
        <v>8</v>
      </c>
      <c r="D89" s="92" t="s">
        <v>9</v>
      </c>
      <c r="E89" s="92" t="s">
        <v>10</v>
      </c>
      <c r="F89" s="92" t="s">
        <v>137</v>
      </c>
      <c r="G89" s="92" t="s">
        <v>11</v>
      </c>
      <c r="H89" s="92" t="s">
        <v>138</v>
      </c>
      <c r="I89" s="92" t="s">
        <v>139</v>
      </c>
      <c r="J89" s="92" t="s">
        <v>12</v>
      </c>
      <c r="K89" s="92" t="s">
        <v>13</v>
      </c>
      <c r="L89" s="93" t="s">
        <v>105</v>
      </c>
      <c r="M89" s="93"/>
      <c r="N89" s="93"/>
      <c r="O89" s="151"/>
      <c r="P89" s="147"/>
      <c r="Q89" s="148"/>
    </row>
    <row r="90" spans="1:17" x14ac:dyDescent="0.25">
      <c r="A90" t="s">
        <v>69</v>
      </c>
      <c r="B90" s="115">
        <v>15</v>
      </c>
      <c r="C90" s="15"/>
      <c r="D90" s="15"/>
      <c r="E90" s="15">
        <f>TRUNC(20*Q90*(1-L7)*(1-N90))</f>
        <v>0</v>
      </c>
      <c r="F90" s="15"/>
      <c r="G90" s="15">
        <f>TRUNC(20*Q90*(1-L7)*(1-N90))</f>
        <v>0</v>
      </c>
      <c r="H90" s="15">
        <f>TRUNC(90*Q90*(1-L7)*(1-N90))</f>
        <v>0</v>
      </c>
      <c r="I90" s="15"/>
      <c r="J90" s="15">
        <f>TRUNC(20*Q90*(1-L7)*(1-N90))</f>
        <v>0</v>
      </c>
      <c r="K90" s="15"/>
      <c r="L90" s="16">
        <f>TRUNC(60*Q90*(1-L7)*(1-N90))</f>
        <v>0</v>
      </c>
      <c r="M90" s="127" t="s">
        <v>173</v>
      </c>
      <c r="N90" s="124">
        <v>0</v>
      </c>
      <c r="O90" s="149">
        <f>IF(E$6="Morrowind",60000*Q90*(1-L$7)*(1-N90),30000*Q90*(1-L$7)*(1-N90))</f>
        <v>0</v>
      </c>
      <c r="P90" s="145">
        <f t="shared" si="7"/>
        <v>0</v>
      </c>
      <c r="Q90" s="146">
        <f t="shared" si="5"/>
        <v>0</v>
      </c>
    </row>
    <row r="91" spans="1:17" x14ac:dyDescent="0.25">
      <c r="A91" t="s">
        <v>70</v>
      </c>
      <c r="B91" s="116">
        <v>15</v>
      </c>
      <c r="C91" s="17"/>
      <c r="D91" s="17"/>
      <c r="E91" s="17"/>
      <c r="F91" s="17"/>
      <c r="G91" s="17">
        <f>TRUNC(170*Q91*(1-L7)*(1-N91))</f>
        <v>0</v>
      </c>
      <c r="H91" s="17"/>
      <c r="I91" s="17"/>
      <c r="J91" s="17"/>
      <c r="K91" s="17"/>
      <c r="L91" s="18"/>
      <c r="M91" s="127" t="s">
        <v>173</v>
      </c>
      <c r="N91" s="124">
        <v>0</v>
      </c>
      <c r="O91" s="150">
        <f t="shared" ref="O91:O97" si="14">30000*Q91*(1-L$7)*(1-N91)</f>
        <v>0</v>
      </c>
      <c r="P91" s="145">
        <f t="shared" si="7"/>
        <v>0</v>
      </c>
      <c r="Q91" s="146">
        <f t="shared" si="5"/>
        <v>0</v>
      </c>
    </row>
    <row r="92" spans="1:17" x14ac:dyDescent="0.25">
      <c r="A92" t="s">
        <v>71</v>
      </c>
      <c r="B92" s="116">
        <v>15</v>
      </c>
      <c r="C92" s="17">
        <f>TRUNC(70*Q92*(1-L7)*(1-N92))</f>
        <v>0</v>
      </c>
      <c r="D92" s="17"/>
      <c r="E92" s="17"/>
      <c r="F92" s="17"/>
      <c r="G92" s="17"/>
      <c r="H92" s="17"/>
      <c r="I92" s="17"/>
      <c r="J92" s="17"/>
      <c r="K92" s="17"/>
      <c r="L92" s="18">
        <f>TRUNC(100*Q92*(1-L7)*(1-N92))</f>
        <v>0</v>
      </c>
      <c r="M92" s="127" t="s">
        <v>173</v>
      </c>
      <c r="N92" s="124">
        <v>0</v>
      </c>
      <c r="O92" s="150">
        <f t="shared" si="14"/>
        <v>0</v>
      </c>
      <c r="P92" s="145">
        <f t="shared" si="7"/>
        <v>0</v>
      </c>
      <c r="Q92" s="146">
        <f t="shared" ref="Q92:Q111" si="15">IF(M92="Possédée",1,IF(M92="Assiégée",0.5,0))</f>
        <v>0</v>
      </c>
    </row>
    <row r="93" spans="1:17" x14ac:dyDescent="0.25">
      <c r="A93" t="s">
        <v>72</v>
      </c>
      <c r="B93" s="116">
        <v>15</v>
      </c>
      <c r="C93" s="17"/>
      <c r="D93" s="17"/>
      <c r="E93" s="17">
        <f>TRUNC(60*Q93*(1-L7)*(1-N93))</f>
        <v>0</v>
      </c>
      <c r="F93" s="17"/>
      <c r="G93" s="17"/>
      <c r="H93" s="17"/>
      <c r="I93" s="17"/>
      <c r="J93" s="17"/>
      <c r="K93" s="17">
        <f>TRUNC(110*Q93*(1-L7)*(1-N93))</f>
        <v>0</v>
      </c>
      <c r="L93" s="18"/>
      <c r="M93" s="127" t="s">
        <v>173</v>
      </c>
      <c r="N93" s="124">
        <v>0</v>
      </c>
      <c r="O93" s="150">
        <f t="shared" si="14"/>
        <v>0</v>
      </c>
      <c r="P93" s="145">
        <f t="shared" ref="P93:P118" si="16">IF(OR(M93="Possédée",M93="Assiégée"),B93,0)</f>
        <v>0</v>
      </c>
      <c r="Q93" s="146">
        <f t="shared" si="15"/>
        <v>0</v>
      </c>
    </row>
    <row r="94" spans="1:17" x14ac:dyDescent="0.25">
      <c r="A94" t="s">
        <v>73</v>
      </c>
      <c r="B94" s="116">
        <v>15</v>
      </c>
      <c r="C94" s="17"/>
      <c r="D94" s="17"/>
      <c r="E94" s="17"/>
      <c r="F94" s="17"/>
      <c r="G94" s="17">
        <f>TRUNC(100*Q94*(1-L7)*(1-N94))</f>
        <v>0</v>
      </c>
      <c r="H94" s="17">
        <f>TRUNC(50*Q94*(1-L7)*(1-N94))</f>
        <v>0</v>
      </c>
      <c r="I94" s="17"/>
      <c r="J94" s="17"/>
      <c r="K94" s="17"/>
      <c r="L94" s="18">
        <f>TRUNC(20*Q94*(1-L7)*(1-N94))</f>
        <v>0</v>
      </c>
      <c r="M94" s="127" t="s">
        <v>173</v>
      </c>
      <c r="N94" s="124">
        <v>0</v>
      </c>
      <c r="O94" s="150">
        <f t="shared" si="14"/>
        <v>0</v>
      </c>
      <c r="P94" s="145">
        <f t="shared" si="16"/>
        <v>0</v>
      </c>
      <c r="Q94" s="146">
        <f t="shared" si="15"/>
        <v>0</v>
      </c>
    </row>
    <row r="95" spans="1:17" x14ac:dyDescent="0.25">
      <c r="A95" t="s">
        <v>74</v>
      </c>
      <c r="B95" s="116">
        <v>15</v>
      </c>
      <c r="C95" s="17"/>
      <c r="D95" s="17"/>
      <c r="E95" s="17">
        <f>TRUNC(100*Q95*(1-L7)*(1-N95))</f>
        <v>0</v>
      </c>
      <c r="F95" s="17"/>
      <c r="G95" s="17">
        <f>TRUNC(70*Q95*(1-L7)*(1-N95))</f>
        <v>0</v>
      </c>
      <c r="H95" s="17"/>
      <c r="I95" s="17"/>
      <c r="J95" s="17"/>
      <c r="K95" s="17"/>
      <c r="L95" s="18"/>
      <c r="M95" s="127" t="s">
        <v>173</v>
      </c>
      <c r="N95" s="124">
        <v>0</v>
      </c>
      <c r="O95" s="150">
        <f t="shared" si="14"/>
        <v>0</v>
      </c>
      <c r="P95" s="145">
        <f t="shared" si="16"/>
        <v>0</v>
      </c>
      <c r="Q95" s="146">
        <f t="shared" si="15"/>
        <v>0</v>
      </c>
    </row>
    <row r="96" spans="1:17" x14ac:dyDescent="0.25">
      <c r="A96" t="s">
        <v>75</v>
      </c>
      <c r="B96" s="116">
        <v>15</v>
      </c>
      <c r="C96" s="17"/>
      <c r="D96" s="17"/>
      <c r="E96" s="17">
        <f>TRUNC(120*Q96*(1-L7)*(1-N96))</f>
        <v>0</v>
      </c>
      <c r="F96" s="17"/>
      <c r="G96" s="17"/>
      <c r="H96" s="17"/>
      <c r="I96" s="17"/>
      <c r="J96" s="17"/>
      <c r="K96" s="17">
        <f>TRUNC(50*Q96*(1-L7)*(1-N96))</f>
        <v>0</v>
      </c>
      <c r="L96" s="18"/>
      <c r="M96" s="127" t="s">
        <v>173</v>
      </c>
      <c r="N96" s="124">
        <v>0</v>
      </c>
      <c r="O96" s="150">
        <f t="shared" si="14"/>
        <v>0</v>
      </c>
      <c r="P96" s="145">
        <f t="shared" si="16"/>
        <v>0</v>
      </c>
      <c r="Q96" s="146">
        <f t="shared" si="15"/>
        <v>0</v>
      </c>
    </row>
    <row r="97" spans="1:17" ht="15.75" thickBot="1" x14ac:dyDescent="0.3">
      <c r="A97" t="s">
        <v>76</v>
      </c>
      <c r="B97" s="116">
        <v>15</v>
      </c>
      <c r="C97" s="17"/>
      <c r="D97" s="17"/>
      <c r="E97" s="17">
        <f>TRUNC(170*Q97*(1-L7)*(1-N97))</f>
        <v>0</v>
      </c>
      <c r="F97" s="17"/>
      <c r="G97" s="17"/>
      <c r="H97" s="17"/>
      <c r="I97" s="17"/>
      <c r="J97" s="17"/>
      <c r="K97" s="17"/>
      <c r="L97" s="18"/>
      <c r="M97" s="127" t="s">
        <v>173</v>
      </c>
      <c r="N97" s="124">
        <v>0</v>
      </c>
      <c r="O97" s="150">
        <f t="shared" si="14"/>
        <v>0</v>
      </c>
      <c r="P97" s="145">
        <f t="shared" si="16"/>
        <v>0</v>
      </c>
      <c r="Q97" s="146">
        <f t="shared" si="15"/>
        <v>0</v>
      </c>
    </row>
    <row r="98" spans="1:17" ht="15.75" thickBot="1" x14ac:dyDescent="0.3">
      <c r="A98" s="3" t="s">
        <v>77</v>
      </c>
      <c r="B98" s="117" t="s">
        <v>166</v>
      </c>
      <c r="C98" s="91" t="s">
        <v>8</v>
      </c>
      <c r="D98" s="92" t="s">
        <v>9</v>
      </c>
      <c r="E98" s="92" t="s">
        <v>10</v>
      </c>
      <c r="F98" s="92" t="s">
        <v>137</v>
      </c>
      <c r="G98" s="92" t="s">
        <v>11</v>
      </c>
      <c r="H98" s="92" t="s">
        <v>138</v>
      </c>
      <c r="I98" s="92" t="s">
        <v>139</v>
      </c>
      <c r="J98" s="92" t="s">
        <v>12</v>
      </c>
      <c r="K98" s="92" t="s">
        <v>13</v>
      </c>
      <c r="L98" s="93" t="s">
        <v>105</v>
      </c>
      <c r="M98" s="93"/>
      <c r="N98" s="93"/>
      <c r="O98" s="151"/>
      <c r="P98" s="147"/>
      <c r="Q98" s="148"/>
    </row>
    <row r="99" spans="1:17" x14ac:dyDescent="0.25">
      <c r="A99" t="s">
        <v>78</v>
      </c>
      <c r="B99" s="115">
        <v>15</v>
      </c>
      <c r="C99" s="15"/>
      <c r="D99" s="15"/>
      <c r="E99" s="15"/>
      <c r="F99" s="15"/>
      <c r="G99" s="15">
        <f>TRUNC(30*Q99*(1-L7)*(1-N99))</f>
        <v>0</v>
      </c>
      <c r="H99" s="15">
        <f>TRUNC(40*Q99*(1-L7)*(1-N99))</f>
        <v>0</v>
      </c>
      <c r="I99" s="15">
        <f>TRUNC(140*Q99*(1-L7)*(1-N99))</f>
        <v>0</v>
      </c>
      <c r="J99" s="15"/>
      <c r="K99" s="15"/>
      <c r="L99" s="16"/>
      <c r="M99" s="127" t="s">
        <v>173</v>
      </c>
      <c r="N99" s="124">
        <v>0</v>
      </c>
      <c r="O99" s="149">
        <f>IF(E$6="Val-Boisé",60000*Q99*(1-L$7)*(1-N99),30000*Q99*(1-L$7)*(1-N99))</f>
        <v>0</v>
      </c>
      <c r="P99" s="145">
        <f t="shared" si="16"/>
        <v>0</v>
      </c>
      <c r="Q99" s="146">
        <f t="shared" si="15"/>
        <v>0</v>
      </c>
    </row>
    <row r="100" spans="1:17" x14ac:dyDescent="0.25">
      <c r="A100" t="s">
        <v>79</v>
      </c>
      <c r="B100" s="116">
        <v>15</v>
      </c>
      <c r="C100" s="17"/>
      <c r="D100" s="17"/>
      <c r="E100" s="17"/>
      <c r="F100" s="17"/>
      <c r="G100" s="17"/>
      <c r="H100" s="17"/>
      <c r="I100" s="17">
        <f>TRUNC(50*Q100*(1-L7)*(1-N100))</f>
        <v>0</v>
      </c>
      <c r="J100" s="17">
        <f>TRUNC(120*Q100*(1-L7)*(1-N100))</f>
        <v>0</v>
      </c>
      <c r="K100" s="17"/>
      <c r="L100" s="18"/>
      <c r="M100" s="127" t="s">
        <v>173</v>
      </c>
      <c r="N100" s="124">
        <v>0</v>
      </c>
      <c r="O100" s="150">
        <f t="shared" ref="O100:O106" si="17">30000*Q100*(1-L$7)*(1-N100)</f>
        <v>0</v>
      </c>
      <c r="P100" s="145">
        <f t="shared" si="16"/>
        <v>0</v>
      </c>
      <c r="Q100" s="146">
        <f t="shared" si="15"/>
        <v>0</v>
      </c>
    </row>
    <row r="101" spans="1:17" x14ac:dyDescent="0.25">
      <c r="A101" t="s">
        <v>80</v>
      </c>
      <c r="B101" s="116">
        <v>15</v>
      </c>
      <c r="C101" s="17"/>
      <c r="D101" s="17"/>
      <c r="E101" s="17"/>
      <c r="F101" s="17">
        <f>TRUNC(70*Q101*(1-L7)*(1-N101))</f>
        <v>0</v>
      </c>
      <c r="G101" s="17">
        <f>TRUNC(40*Q101*(1-L7)*(1-N101))</f>
        <v>0</v>
      </c>
      <c r="H101" s="17"/>
      <c r="I101" s="17"/>
      <c r="J101" s="17"/>
      <c r="K101" s="17">
        <f>TRUNC(20*Q101*(1-L7)*(1-N101))</f>
        <v>0</v>
      </c>
      <c r="L101" s="18">
        <f>TRUNC(40*Q101*(1-L7)*(1-N101))</f>
        <v>0</v>
      </c>
      <c r="M101" s="127" t="s">
        <v>173</v>
      </c>
      <c r="N101" s="124">
        <v>0</v>
      </c>
      <c r="O101" s="150">
        <f t="shared" si="17"/>
        <v>0</v>
      </c>
      <c r="P101" s="145">
        <f t="shared" si="16"/>
        <v>0</v>
      </c>
      <c r="Q101" s="146">
        <f t="shared" si="15"/>
        <v>0</v>
      </c>
    </row>
    <row r="102" spans="1:17" x14ac:dyDescent="0.25">
      <c r="A102" t="s">
        <v>81</v>
      </c>
      <c r="B102" s="116">
        <v>15</v>
      </c>
      <c r="C102" s="17"/>
      <c r="D102" s="17"/>
      <c r="E102" s="17"/>
      <c r="F102" s="17"/>
      <c r="G102" s="17"/>
      <c r="H102" s="17"/>
      <c r="I102" s="17">
        <f>TRUNC(170*Q102*(1-L7)*(1-N102))</f>
        <v>0</v>
      </c>
      <c r="J102" s="17"/>
      <c r="K102" s="17"/>
      <c r="L102" s="18"/>
      <c r="M102" s="127" t="s">
        <v>173</v>
      </c>
      <c r="N102" s="124">
        <v>0</v>
      </c>
      <c r="O102" s="150">
        <f t="shared" si="17"/>
        <v>0</v>
      </c>
      <c r="P102" s="145">
        <f t="shared" si="16"/>
        <v>0</v>
      </c>
      <c r="Q102" s="146">
        <f t="shared" si="15"/>
        <v>0</v>
      </c>
    </row>
    <row r="103" spans="1:17" x14ac:dyDescent="0.25">
      <c r="A103" t="s">
        <v>82</v>
      </c>
      <c r="B103" s="116">
        <v>15</v>
      </c>
      <c r="C103" s="17">
        <f>TRUNC(100*Q103*(1-L7)*(1-N103))</f>
        <v>0</v>
      </c>
      <c r="D103" s="17"/>
      <c r="E103" s="17"/>
      <c r="F103" s="17"/>
      <c r="G103" s="17"/>
      <c r="H103" s="17"/>
      <c r="I103" s="17"/>
      <c r="J103" s="17">
        <f>TRUNC(70*Q103*(1-L7)*(1-N103))</f>
        <v>0</v>
      </c>
      <c r="K103" s="17"/>
      <c r="L103" s="18"/>
      <c r="M103" s="127" t="s">
        <v>173</v>
      </c>
      <c r="N103" s="124">
        <v>0</v>
      </c>
      <c r="O103" s="150">
        <f t="shared" si="17"/>
        <v>0</v>
      </c>
      <c r="P103" s="145">
        <f t="shared" si="16"/>
        <v>0</v>
      </c>
      <c r="Q103" s="146">
        <f t="shared" si="15"/>
        <v>0</v>
      </c>
    </row>
    <row r="104" spans="1:17" x14ac:dyDescent="0.25">
      <c r="A104" t="s">
        <v>83</v>
      </c>
      <c r="B104" s="116">
        <v>15</v>
      </c>
      <c r="C104" s="17">
        <f>TRUNC(170*Q104*(1-L7)*(1-N104))</f>
        <v>0</v>
      </c>
      <c r="D104" s="17"/>
      <c r="E104" s="17"/>
      <c r="F104" s="17"/>
      <c r="G104" s="17"/>
      <c r="H104" s="17"/>
      <c r="I104" s="17"/>
      <c r="J104" s="17"/>
      <c r="K104" s="17"/>
      <c r="L104" s="18"/>
      <c r="M104" s="127" t="s">
        <v>173</v>
      </c>
      <c r="N104" s="124">
        <v>0</v>
      </c>
      <c r="O104" s="150">
        <f t="shared" si="17"/>
        <v>0</v>
      </c>
      <c r="P104" s="145">
        <f t="shared" si="16"/>
        <v>0</v>
      </c>
      <c r="Q104" s="146">
        <f t="shared" si="15"/>
        <v>0</v>
      </c>
    </row>
    <row r="105" spans="1:17" x14ac:dyDescent="0.25">
      <c r="A105" t="s">
        <v>84</v>
      </c>
      <c r="B105" s="116">
        <v>15</v>
      </c>
      <c r="C105" s="17"/>
      <c r="D105" s="17"/>
      <c r="E105" s="17"/>
      <c r="F105" s="17"/>
      <c r="G105" s="17"/>
      <c r="H105" s="17">
        <f>TRUNC(170*Q105*(1-L7)*(1-N105))</f>
        <v>0</v>
      </c>
      <c r="I105" s="17"/>
      <c r="J105" s="17"/>
      <c r="K105" s="17"/>
      <c r="L105" s="18"/>
      <c r="M105" s="127" t="s">
        <v>173</v>
      </c>
      <c r="N105" s="124">
        <v>0</v>
      </c>
      <c r="O105" s="150">
        <f t="shared" si="17"/>
        <v>0</v>
      </c>
      <c r="P105" s="145">
        <f t="shared" si="16"/>
        <v>0</v>
      </c>
      <c r="Q105" s="146">
        <f t="shared" si="15"/>
        <v>0</v>
      </c>
    </row>
    <row r="106" spans="1:17" ht="15.75" thickBot="1" x14ac:dyDescent="0.3">
      <c r="A106" t="s">
        <v>85</v>
      </c>
      <c r="B106" s="116">
        <v>15</v>
      </c>
      <c r="C106" s="17">
        <f>TRUNC(60*Q106*(1-L7)*(1-N106))</f>
        <v>0</v>
      </c>
      <c r="D106" s="17"/>
      <c r="E106" s="17"/>
      <c r="F106" s="17"/>
      <c r="G106" s="17"/>
      <c r="H106" s="17"/>
      <c r="I106" s="17">
        <f>TRUNC(110*Q106*(1-L7)*(1-N106))</f>
        <v>0</v>
      </c>
      <c r="J106" s="17"/>
      <c r="K106" s="17"/>
      <c r="L106" s="18"/>
      <c r="M106" s="127" t="s">
        <v>173</v>
      </c>
      <c r="N106" s="124">
        <v>0</v>
      </c>
      <c r="O106" s="150">
        <f t="shared" si="17"/>
        <v>0</v>
      </c>
      <c r="P106" s="145">
        <f t="shared" si="16"/>
        <v>0</v>
      </c>
      <c r="Q106" s="146">
        <f t="shared" si="15"/>
        <v>0</v>
      </c>
    </row>
    <row r="107" spans="1:17" ht="15.75" thickBot="1" x14ac:dyDescent="0.3">
      <c r="A107" s="3" t="s">
        <v>86</v>
      </c>
      <c r="B107" s="117" t="s">
        <v>166</v>
      </c>
      <c r="C107" s="91" t="s">
        <v>8</v>
      </c>
      <c r="D107" s="92" t="s">
        <v>9</v>
      </c>
      <c r="E107" s="92" t="s">
        <v>10</v>
      </c>
      <c r="F107" s="92" t="s">
        <v>137</v>
      </c>
      <c r="G107" s="92" t="s">
        <v>11</v>
      </c>
      <c r="H107" s="92" t="s">
        <v>138</v>
      </c>
      <c r="I107" s="92" t="s">
        <v>139</v>
      </c>
      <c r="J107" s="92" t="s">
        <v>12</v>
      </c>
      <c r="K107" s="92" t="s">
        <v>13</v>
      </c>
      <c r="L107" s="93" t="s">
        <v>105</v>
      </c>
      <c r="M107" s="93"/>
      <c r="N107" s="93"/>
      <c r="O107" s="151"/>
      <c r="P107" s="147"/>
      <c r="Q107" s="148"/>
    </row>
    <row r="108" spans="1:17" x14ac:dyDescent="0.25">
      <c r="A108" t="s">
        <v>89</v>
      </c>
      <c r="B108" s="115">
        <v>15</v>
      </c>
      <c r="C108" s="15"/>
      <c r="D108" s="15"/>
      <c r="E108" s="15">
        <f>TRUNC(90*Q108*(1-L7)*(1-N108))</f>
        <v>0</v>
      </c>
      <c r="F108" s="15"/>
      <c r="G108" s="15"/>
      <c r="H108" s="15"/>
      <c r="I108" s="15"/>
      <c r="J108" s="15"/>
      <c r="K108" s="15">
        <f>TRUNC(120*Q108*(1-L7)*(1-N108))</f>
        <v>0</v>
      </c>
      <c r="L108" s="16"/>
      <c r="M108" s="127" t="s">
        <v>173</v>
      </c>
      <c r="N108" s="124">
        <v>0</v>
      </c>
      <c r="O108" s="149">
        <f>IF(E$6="Solstheim",60000*Q108*(1-L$7)*(1-N108),30000*Q108*(1-L$7)*(1-N108))</f>
        <v>0</v>
      </c>
      <c r="P108" s="145">
        <f t="shared" si="16"/>
        <v>0</v>
      </c>
      <c r="Q108" s="146">
        <f t="shared" si="15"/>
        <v>0</v>
      </c>
    </row>
    <row r="109" spans="1:17" x14ac:dyDescent="0.25">
      <c r="A109" t="s">
        <v>88</v>
      </c>
      <c r="B109" s="116">
        <v>15</v>
      </c>
      <c r="C109" s="17"/>
      <c r="D109" s="17"/>
      <c r="E109" s="17">
        <f>TRUNC(80*Q109*(1-L7)*(1-N109))</f>
        <v>0</v>
      </c>
      <c r="F109" s="17"/>
      <c r="G109" s="17">
        <f>TRUNC(20*Q109*(1-L7)*(1-N109))</f>
        <v>0</v>
      </c>
      <c r="H109" s="17"/>
      <c r="I109" s="17"/>
      <c r="J109" s="17"/>
      <c r="K109" s="17">
        <f>TRUNC(70*Q109*(1-L7)*(1-N109))</f>
        <v>0</v>
      </c>
      <c r="L109" s="18"/>
      <c r="M109" s="127" t="s">
        <v>173</v>
      </c>
      <c r="N109" s="124">
        <v>0</v>
      </c>
      <c r="O109" s="150">
        <f t="shared" ref="O109:O110" si="18">30000*Q109*(1-L$7)*(1-N109)</f>
        <v>0</v>
      </c>
      <c r="P109" s="145">
        <f t="shared" si="16"/>
        <v>0</v>
      </c>
      <c r="Q109" s="146">
        <f t="shared" si="15"/>
        <v>0</v>
      </c>
    </row>
    <row r="110" spans="1:17" ht="15.75" thickBot="1" x14ac:dyDescent="0.3">
      <c r="A110" s="39" t="s">
        <v>87</v>
      </c>
      <c r="B110" s="116">
        <v>15</v>
      </c>
      <c r="C110" s="19"/>
      <c r="D110" s="17">
        <f>TRUNC(90*Q110*(1-L7)*(1-N110))</f>
        <v>0</v>
      </c>
      <c r="E110" s="17"/>
      <c r="F110" s="17"/>
      <c r="G110" s="17">
        <f>TRUNC(30*Q110*(1-L7)*(1-N110))</f>
        <v>0</v>
      </c>
      <c r="H110" s="17"/>
      <c r="I110" s="17"/>
      <c r="J110" s="17"/>
      <c r="K110" s="17">
        <f>TRUNC(50*Q110*(1-L7)*(1-N110))</f>
        <v>0</v>
      </c>
      <c r="L110" s="18"/>
      <c r="M110" s="127" t="s">
        <v>173</v>
      </c>
      <c r="N110" s="124">
        <v>0</v>
      </c>
      <c r="O110" s="150">
        <f t="shared" si="18"/>
        <v>0</v>
      </c>
      <c r="P110" s="145">
        <f t="shared" si="16"/>
        <v>0</v>
      </c>
      <c r="Q110" s="146">
        <f t="shared" si="15"/>
        <v>0</v>
      </c>
    </row>
    <row r="111" spans="1:17" ht="15.75" thickBot="1" x14ac:dyDescent="0.3">
      <c r="A111" s="3" t="s">
        <v>140</v>
      </c>
      <c r="B111" s="119">
        <v>15</v>
      </c>
      <c r="C111" s="113"/>
      <c r="D111" s="89"/>
      <c r="E111" s="89">
        <f>TRUNC(70*Q111*(1-L7)*(1-N111))</f>
        <v>0</v>
      </c>
      <c r="F111" s="89"/>
      <c r="G111" s="89">
        <f>TRUNC(40*Q111*(1-L7)*(1-N111))</f>
        <v>0</v>
      </c>
      <c r="H111" s="89"/>
      <c r="I111" s="89"/>
      <c r="J111" s="89"/>
      <c r="K111" s="89">
        <f>TRUNC(100*Q111*(1-L7)*(1-N111))</f>
        <v>0</v>
      </c>
      <c r="L111" s="90"/>
      <c r="M111" s="127" t="s">
        <v>173</v>
      </c>
      <c r="N111" s="124">
        <v>0</v>
      </c>
      <c r="O111" s="150">
        <f>IF(E$6="Orsinium",60000*Q111*(1-L$7)*(1-N111),30000*Q111*(1-L$7)*(1-N111))</f>
        <v>0</v>
      </c>
      <c r="P111" s="145">
        <f t="shared" si="16"/>
        <v>0</v>
      </c>
      <c r="Q111" s="146">
        <f t="shared" si="15"/>
        <v>0</v>
      </c>
    </row>
    <row r="112" spans="1:17" ht="15.75" thickBot="1" x14ac:dyDescent="0.3">
      <c r="A112" s="3" t="s">
        <v>215</v>
      </c>
      <c r="B112" s="117" t="s">
        <v>166</v>
      </c>
      <c r="C112" s="91" t="s">
        <v>8</v>
      </c>
      <c r="D112" s="92" t="s">
        <v>9</v>
      </c>
      <c r="E112" s="92" t="s">
        <v>10</v>
      </c>
      <c r="F112" s="92" t="s">
        <v>137</v>
      </c>
      <c r="G112" s="92" t="s">
        <v>11</v>
      </c>
      <c r="H112" s="92" t="s">
        <v>138</v>
      </c>
      <c r="I112" s="92" t="s">
        <v>139</v>
      </c>
      <c r="J112" s="92" t="s">
        <v>12</v>
      </c>
      <c r="K112" s="92" t="s">
        <v>13</v>
      </c>
      <c r="L112" s="93" t="s">
        <v>105</v>
      </c>
      <c r="M112" s="93"/>
      <c r="N112" s="93"/>
      <c r="O112" s="151"/>
      <c r="P112" s="147"/>
      <c r="Q112" s="148"/>
    </row>
    <row r="113" spans="1:17" x14ac:dyDescent="0.25">
      <c r="A113" t="s">
        <v>142</v>
      </c>
      <c r="B113" s="115">
        <v>0</v>
      </c>
      <c r="C113" s="15"/>
      <c r="D113" s="15"/>
      <c r="E113" s="15">
        <f>TRUNC(10*Q113*(1-N113))</f>
        <v>0</v>
      </c>
      <c r="F113" s="15"/>
      <c r="G113" s="15"/>
      <c r="H113" s="15">
        <f>TRUNC(10*Q113*(1-N113))</f>
        <v>0</v>
      </c>
      <c r="I113" s="15"/>
      <c r="J113" s="15">
        <f>TRUNC(10*Q113*(1-N113))</f>
        <v>0</v>
      </c>
      <c r="K113" s="15"/>
      <c r="L113" s="16"/>
      <c r="M113" s="127" t="s">
        <v>173</v>
      </c>
      <c r="N113" s="124">
        <v>0</v>
      </c>
      <c r="O113" s="149">
        <f>IF(E$6="Strik",40000*Q113*(1-L$7)*(1-N113),0)</f>
        <v>0</v>
      </c>
      <c r="P113" s="145">
        <f t="shared" si="16"/>
        <v>0</v>
      </c>
      <c r="Q113" s="146">
        <f>IF(E$6=A113,IF(M113="Possédée",1,IF(M113="Assiégée",0.5,0)),0)</f>
        <v>0</v>
      </c>
    </row>
    <row r="114" spans="1:17" x14ac:dyDescent="0.25">
      <c r="A114" t="s">
        <v>143</v>
      </c>
      <c r="B114" s="116">
        <v>0</v>
      </c>
      <c r="C114" s="17"/>
      <c r="D114" s="17"/>
      <c r="E114" s="17">
        <f>TRUNC(10*Q114*(1-N114))</f>
        <v>0</v>
      </c>
      <c r="F114" s="17"/>
      <c r="G114" s="17"/>
      <c r="H114" s="17">
        <f>TRUNC(10*Q114*(1-N114))</f>
        <v>0</v>
      </c>
      <c r="I114" s="17"/>
      <c r="J114" s="17">
        <f>TRUNC(10*Q114*(1-N114))</f>
        <v>0</v>
      </c>
      <c r="K114" s="17"/>
      <c r="L114" s="18"/>
      <c r="M114" s="127" t="s">
        <v>173</v>
      </c>
      <c r="N114" s="124">
        <v>0</v>
      </c>
      <c r="O114" s="150">
        <f>IF(E$6="Stros M'Kai",40000*Q114*(1-L$7)*(1-N114),0)</f>
        <v>0</v>
      </c>
      <c r="P114" s="145">
        <f t="shared" si="16"/>
        <v>0</v>
      </c>
      <c r="Q114" s="146">
        <f t="shared" ref="Q114:Q118" si="19">IF(E$6=A114,IF(M114="Possédée",1,IF(M114="Assiégée",0.5,0)),0)</f>
        <v>0</v>
      </c>
    </row>
    <row r="115" spans="1:17" x14ac:dyDescent="0.25">
      <c r="A115" t="s">
        <v>144</v>
      </c>
      <c r="B115" s="116">
        <v>0</v>
      </c>
      <c r="C115" s="17"/>
      <c r="D115" s="17"/>
      <c r="E115" s="17">
        <f t="shared" ref="E115:E118" si="20">TRUNC(10*Q115*(1-N115))</f>
        <v>0</v>
      </c>
      <c r="F115" s="17"/>
      <c r="G115" s="17"/>
      <c r="H115" s="17">
        <f t="shared" ref="H115:H118" si="21">TRUNC(10*Q115*(1-N115))</f>
        <v>0</v>
      </c>
      <c r="I115" s="17"/>
      <c r="J115" s="17">
        <f t="shared" ref="J115:J118" si="22">TRUNC(10*Q115*(1-N115))</f>
        <v>0</v>
      </c>
      <c r="K115" s="17"/>
      <c r="L115" s="18"/>
      <c r="M115" s="127" t="s">
        <v>173</v>
      </c>
      <c r="N115" s="124">
        <v>0</v>
      </c>
      <c r="O115" s="150">
        <f>IF(E$6="Vivec",40000*Q115*(1-L$7)*(1-N115),0)</f>
        <v>0</v>
      </c>
      <c r="P115" s="145">
        <f t="shared" si="16"/>
        <v>0</v>
      </c>
      <c r="Q115" s="146">
        <f t="shared" si="19"/>
        <v>0</v>
      </c>
    </row>
    <row r="116" spans="1:17" x14ac:dyDescent="0.25">
      <c r="A116" t="s">
        <v>145</v>
      </c>
      <c r="B116" s="116">
        <v>0</v>
      </c>
      <c r="C116" s="17"/>
      <c r="D116" s="17"/>
      <c r="E116" s="17">
        <f t="shared" si="20"/>
        <v>0</v>
      </c>
      <c r="F116" s="17"/>
      <c r="G116" s="17"/>
      <c r="H116" s="17">
        <f t="shared" si="21"/>
        <v>0</v>
      </c>
      <c r="I116" s="17"/>
      <c r="J116" s="17">
        <f t="shared" si="22"/>
        <v>0</v>
      </c>
      <c r="K116" s="17"/>
      <c r="L116" s="18"/>
      <c r="M116" s="127" t="s">
        <v>173</v>
      </c>
      <c r="N116" s="124">
        <v>0</v>
      </c>
      <c r="O116" s="150">
        <f>IF(E$6="Sadrith Mora",40000*Q116*(1-L$7)*(1-N116),0)</f>
        <v>0</v>
      </c>
      <c r="P116" s="145">
        <f t="shared" si="16"/>
        <v>0</v>
      </c>
      <c r="Q116" s="146">
        <f t="shared" si="19"/>
        <v>0</v>
      </c>
    </row>
    <row r="117" spans="1:17" x14ac:dyDescent="0.25">
      <c r="A117" t="s">
        <v>146</v>
      </c>
      <c r="B117" s="116">
        <v>0</v>
      </c>
      <c r="C117" s="17"/>
      <c r="D117" s="17"/>
      <c r="E117" s="17">
        <f t="shared" si="20"/>
        <v>0</v>
      </c>
      <c r="F117" s="17"/>
      <c r="G117" s="17"/>
      <c r="H117" s="17">
        <f t="shared" si="21"/>
        <v>0</v>
      </c>
      <c r="I117" s="17"/>
      <c r="J117" s="17">
        <f t="shared" si="22"/>
        <v>0</v>
      </c>
      <c r="K117" s="17"/>
      <c r="L117" s="18"/>
      <c r="M117" s="127" t="s">
        <v>173</v>
      </c>
      <c r="N117" s="124">
        <v>0</v>
      </c>
      <c r="O117" s="150">
        <f>IF(E$6="Dagon Fel",40000*Q117*(1-L$7)*(1-N117),0)</f>
        <v>0</v>
      </c>
      <c r="P117" s="145">
        <f t="shared" si="16"/>
        <v>0</v>
      </c>
      <c r="Q117" s="146">
        <f t="shared" si="19"/>
        <v>0</v>
      </c>
    </row>
    <row r="118" spans="1:17" ht="15.75" thickBot="1" x14ac:dyDescent="0.3">
      <c r="A118" s="40" t="s">
        <v>147</v>
      </c>
      <c r="B118" s="118">
        <v>0</v>
      </c>
      <c r="C118" s="21"/>
      <c r="D118" s="21"/>
      <c r="E118" s="17">
        <f t="shared" si="20"/>
        <v>0</v>
      </c>
      <c r="F118" s="21"/>
      <c r="G118" s="21"/>
      <c r="H118" s="17">
        <f t="shared" si="21"/>
        <v>0</v>
      </c>
      <c r="I118" s="21"/>
      <c r="J118" s="17">
        <f t="shared" si="22"/>
        <v>0</v>
      </c>
      <c r="K118" s="21"/>
      <c r="L118" s="22"/>
      <c r="M118" s="128" t="s">
        <v>173</v>
      </c>
      <c r="N118" s="125">
        <v>0</v>
      </c>
      <c r="O118" s="150">
        <f>IF(E$6="Port Telvannis",40000*Q118*(1-L$7)*(1-N118),0)</f>
        <v>0</v>
      </c>
      <c r="P118" s="145">
        <f t="shared" si="16"/>
        <v>0</v>
      </c>
      <c r="Q118" s="146">
        <f t="shared" si="19"/>
        <v>0</v>
      </c>
    </row>
    <row r="119" spans="1:17" ht="15.75" thickBot="1" x14ac:dyDescent="0.3">
      <c r="A119" s="132" t="s">
        <v>202</v>
      </c>
      <c r="B119" s="119">
        <f>SUM(P27:P118)</f>
        <v>150</v>
      </c>
      <c r="C119" s="89">
        <f>SUM(C27:C118)</f>
        <v>140</v>
      </c>
      <c r="D119" s="89">
        <f>SUM(D27:D118)</f>
        <v>50</v>
      </c>
      <c r="E119" s="89">
        <f>SUM(E27:E118)</f>
        <v>0</v>
      </c>
      <c r="F119" s="89">
        <f t="shared" ref="F119:L119" si="23">SUM(F27:F118)</f>
        <v>350</v>
      </c>
      <c r="G119" s="89">
        <f t="shared" si="23"/>
        <v>0</v>
      </c>
      <c r="H119" s="89">
        <f t="shared" si="23"/>
        <v>510</v>
      </c>
      <c r="I119" s="89">
        <f t="shared" si="23"/>
        <v>220</v>
      </c>
      <c r="J119" s="89">
        <f t="shared" si="23"/>
        <v>310</v>
      </c>
      <c r="K119" s="89">
        <f t="shared" si="23"/>
        <v>0</v>
      </c>
      <c r="L119" s="89">
        <f t="shared" si="23"/>
        <v>150</v>
      </c>
      <c r="M119" s="133"/>
      <c r="N119" s="134"/>
      <c r="O119" s="151">
        <f>SUM(O27:O118)</f>
        <v>330000</v>
      </c>
      <c r="P119" s="147"/>
      <c r="Q119" s="148"/>
    </row>
    <row r="120" spans="1:17" x14ac:dyDescent="0.25">
      <c r="A120" s="131" t="s">
        <v>216</v>
      </c>
    </row>
    <row r="122" spans="1:17" x14ac:dyDescent="0.25">
      <c r="A122" t="s">
        <v>160</v>
      </c>
    </row>
    <row r="123" spans="1:17" x14ac:dyDescent="0.25">
      <c r="A123" t="s">
        <v>22</v>
      </c>
      <c r="D123" t="s">
        <v>199</v>
      </c>
    </row>
    <row r="124" spans="1:17" x14ac:dyDescent="0.25">
      <c r="A124" t="s">
        <v>23</v>
      </c>
      <c r="B124" s="122">
        <v>0</v>
      </c>
      <c r="C124" t="s">
        <v>178</v>
      </c>
      <c r="D124" t="s">
        <v>200</v>
      </c>
      <c r="E124">
        <f>COUNTIF(M27:M111,"Possédée")+COUNTIF(M27:M111,"Assiégée")</f>
        <v>10</v>
      </c>
    </row>
    <row r="125" spans="1:17" x14ac:dyDescent="0.25">
      <c r="A125" t="s">
        <v>24</v>
      </c>
      <c r="B125" s="122">
        <v>0.05</v>
      </c>
      <c r="C125" t="s">
        <v>179</v>
      </c>
      <c r="D125" t="s">
        <v>217</v>
      </c>
      <c r="E125">
        <f>COUNTIF(M113:M118,"Possédée")+COUNTIF(M113:M118,"Assiégée")</f>
        <v>0</v>
      </c>
    </row>
    <row r="126" spans="1:17" x14ac:dyDescent="0.25">
      <c r="A126" t="s">
        <v>33</v>
      </c>
      <c r="B126" s="122">
        <v>0.1</v>
      </c>
      <c r="C126" t="s">
        <v>180</v>
      </c>
      <c r="D126" s="97" t="s">
        <v>218</v>
      </c>
      <c r="E126">
        <f>COUNTIF(M27:M118,"Possédée")+COUNTIF(M27:M118,"Assiégée")</f>
        <v>10</v>
      </c>
    </row>
    <row r="127" spans="1:17" x14ac:dyDescent="0.25">
      <c r="A127" t="s">
        <v>41</v>
      </c>
      <c r="B127" s="122">
        <v>0.15</v>
      </c>
      <c r="C127" t="s">
        <v>181</v>
      </c>
      <c r="D127" t="s">
        <v>201</v>
      </c>
      <c r="E127">
        <f>COUNTIF(M27:M118,"Assiégée")</f>
        <v>0</v>
      </c>
    </row>
    <row r="128" spans="1:17" x14ac:dyDescent="0.25">
      <c r="A128" t="s">
        <v>49</v>
      </c>
      <c r="B128" s="122">
        <v>0.2</v>
      </c>
      <c r="C128" t="s">
        <v>182</v>
      </c>
    </row>
    <row r="129" spans="1:3" x14ac:dyDescent="0.25">
      <c r="A129" t="s">
        <v>59</v>
      </c>
      <c r="B129" s="122">
        <v>0.25</v>
      </c>
      <c r="C129" t="s">
        <v>183</v>
      </c>
    </row>
    <row r="130" spans="1:3" x14ac:dyDescent="0.25">
      <c r="A130" t="s">
        <v>68</v>
      </c>
      <c r="B130" s="122">
        <v>0.3</v>
      </c>
      <c r="C130" t="s">
        <v>184</v>
      </c>
    </row>
    <row r="131" spans="1:3" x14ac:dyDescent="0.25">
      <c r="A131" t="s">
        <v>77</v>
      </c>
      <c r="B131" s="122">
        <v>0.35</v>
      </c>
      <c r="C131" t="s">
        <v>185</v>
      </c>
    </row>
    <row r="132" spans="1:3" x14ac:dyDescent="0.25">
      <c r="A132" t="s">
        <v>86</v>
      </c>
      <c r="B132" s="122">
        <v>0.4</v>
      </c>
      <c r="C132" t="s">
        <v>186</v>
      </c>
    </row>
    <row r="133" spans="1:3" x14ac:dyDescent="0.25">
      <c r="A133" t="s">
        <v>140</v>
      </c>
      <c r="B133" s="122">
        <v>0.45</v>
      </c>
      <c r="C133" t="s">
        <v>187</v>
      </c>
    </row>
    <row r="134" spans="1:3" x14ac:dyDescent="0.25">
      <c r="A134" t="s">
        <v>142</v>
      </c>
      <c r="B134" s="122">
        <v>0.5</v>
      </c>
      <c r="C134" t="s">
        <v>188</v>
      </c>
    </row>
    <row r="135" spans="1:3" x14ac:dyDescent="0.25">
      <c r="A135" t="s">
        <v>143</v>
      </c>
      <c r="B135" s="122">
        <v>0.55000000000000004</v>
      </c>
      <c r="C135" t="s">
        <v>189</v>
      </c>
    </row>
    <row r="136" spans="1:3" x14ac:dyDescent="0.25">
      <c r="A136" t="s">
        <v>144</v>
      </c>
      <c r="B136" s="122">
        <v>0.6</v>
      </c>
      <c r="C136" t="s">
        <v>190</v>
      </c>
    </row>
    <row r="137" spans="1:3" x14ac:dyDescent="0.25">
      <c r="A137" t="s">
        <v>145</v>
      </c>
      <c r="B137" s="122">
        <v>0.65</v>
      </c>
      <c r="C137" t="s">
        <v>191</v>
      </c>
    </row>
    <row r="138" spans="1:3" x14ac:dyDescent="0.25">
      <c r="A138" t="s">
        <v>146</v>
      </c>
      <c r="B138" s="122">
        <v>0.7</v>
      </c>
      <c r="C138" t="s">
        <v>192</v>
      </c>
    </row>
    <row r="139" spans="1:3" x14ac:dyDescent="0.25">
      <c r="A139" t="s">
        <v>147</v>
      </c>
      <c r="B139" s="122">
        <v>0.75</v>
      </c>
      <c r="C139" t="s">
        <v>193</v>
      </c>
    </row>
    <row r="140" spans="1:3" x14ac:dyDescent="0.25">
      <c r="A140" t="s">
        <v>219</v>
      </c>
      <c r="B140" s="122">
        <v>0.8</v>
      </c>
      <c r="C140" t="s">
        <v>194</v>
      </c>
    </row>
    <row r="141" spans="1:3" x14ac:dyDescent="0.25">
      <c r="B141" s="122">
        <v>0.85</v>
      </c>
      <c r="C141" t="s">
        <v>195</v>
      </c>
    </row>
    <row r="142" spans="1:3" x14ac:dyDescent="0.25">
      <c r="B142" s="122">
        <v>0.9</v>
      </c>
      <c r="C142" t="s">
        <v>196</v>
      </c>
    </row>
    <row r="143" spans="1:3" x14ac:dyDescent="0.25">
      <c r="B143" s="122">
        <v>0.95</v>
      </c>
      <c r="C143" t="s">
        <v>197</v>
      </c>
    </row>
    <row r="144" spans="1:3" x14ac:dyDescent="0.25">
      <c r="B144" s="122">
        <v>1</v>
      </c>
      <c r="C144" t="s">
        <v>198</v>
      </c>
    </row>
    <row r="145" spans="3:3" x14ac:dyDescent="0.25">
      <c r="C145" t="s">
        <v>209</v>
      </c>
    </row>
    <row r="146" spans="3:3" x14ac:dyDescent="0.25">
      <c r="C146" t="s">
        <v>210</v>
      </c>
    </row>
    <row r="147" spans="3:3" x14ac:dyDescent="0.25">
      <c r="C147" t="s">
        <v>211</v>
      </c>
    </row>
    <row r="148" spans="3:3" x14ac:dyDescent="0.25">
      <c r="C148" t="s">
        <v>212</v>
      </c>
    </row>
  </sheetData>
  <mergeCells count="6">
    <mergeCell ref="P25:Q25"/>
    <mergeCell ref="E6:G6"/>
    <mergeCell ref="H6:K6"/>
    <mergeCell ref="C7:D7"/>
    <mergeCell ref="H7:K7"/>
    <mergeCell ref="C25:L25"/>
  </mergeCells>
  <conditionalFormatting sqref="C21:L21">
    <cfRule type="cellIs" dxfId="47" priority="5" operator="greaterThanOrEqual">
      <formula>0</formula>
    </cfRule>
    <cfRule type="cellIs" dxfId="46" priority="6" operator="lessThan">
      <formula>0</formula>
    </cfRule>
  </conditionalFormatting>
  <conditionalFormatting sqref="C13:L13">
    <cfRule type="containsText" dxfId="45" priority="7" operator="containsText" text="Oui">
      <formula>NOT(ISERROR(SEARCH("Oui",C13)))</formula>
    </cfRule>
    <cfRule type="containsText" dxfId="44" priority="8" operator="containsText" text="Non">
      <formula>NOT(ISERROR(SEARCH("Non",C13)))</formula>
    </cfRule>
  </conditionalFormatting>
  <conditionalFormatting sqref="M27:M34 M36:M43 M45:M53 M55:M61 M63:M70 M72:M79 M81:M88 M90:M97 M99:M106 M108:M111 M113:M119">
    <cfRule type="containsText" dxfId="43" priority="2" operator="containsText" text="Non Possédée">
      <formula>NOT(ISERROR(SEARCH("Non Possédée",M27)))</formula>
    </cfRule>
    <cfRule type="containsText" dxfId="42" priority="3" operator="containsText" text="Assiégée">
      <formula>NOT(ISERROR(SEARCH("Assiégée",M27)))</formula>
    </cfRule>
    <cfRule type="containsText" dxfId="41" priority="4" operator="containsText" text="Possédée">
      <formula>NOT(ISERROR(SEARCH("Possédée",M27)))</formula>
    </cfRule>
  </conditionalFormatting>
  <conditionalFormatting sqref="N27:N34 N36:N43 N45:N53 N63:N70 N72:N79 N81:N88 N90:N97 N99:N106 N108:N111 N113:N119 N55:N61">
    <cfRule type="cellIs" dxfId="40" priority="1" operator="greaterThan">
      <formula>0</formula>
    </cfRule>
  </conditionalFormatting>
  <dataValidations count="4">
    <dataValidation type="list" allowBlank="1" showInputMessage="1" showErrorMessage="1" sqref="E6">
      <formula1>Provinces</formula1>
    </dataValidation>
    <dataValidation type="list" allowBlank="1" showInputMessage="1" showErrorMessage="1" sqref="M99:M106 M27:M34 M36:M43 M45:M53 M55:M61 M63:M70 M72:M79 M81:M88 M90:M97 M108:M111 M113:M119">
      <formula1>"Possédée,Assiégée,Non Possédée"</formula1>
    </dataValidation>
    <dataValidation type="list" allowBlank="1" showInputMessage="1" showErrorMessage="1" sqref="N108:N111 N27:N34 N36:N43 N113:N119 N45:N53 N63:N70 N72:N79 N81:N88 N90:N97 N99:N106 N55:N61">
      <formula1>Malus</formula1>
    </dataValidation>
    <dataValidation type="list" errorStyle="information" allowBlank="1" showInputMessage="1" showErrorMessage="1" sqref="D8 E7">
      <formula1>Année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8"/>
  <sheetViews>
    <sheetView workbookViewId="0">
      <selection activeCell="N22" sqref="N22"/>
    </sheetView>
  </sheetViews>
  <sheetFormatPr baseColWidth="10" defaultRowHeight="15" x14ac:dyDescent="0.25"/>
  <cols>
    <col min="1" max="1" width="21" customWidth="1"/>
    <col min="2" max="2" width="6.28515625" customWidth="1"/>
    <col min="13" max="13" width="13.85546875" customWidth="1"/>
    <col min="14" max="14" width="9.85546875" customWidth="1"/>
    <col min="15" max="15" width="10.140625" customWidth="1"/>
    <col min="16" max="16" width="12" customWidth="1"/>
    <col min="17" max="17" width="17.28515625" customWidth="1"/>
  </cols>
  <sheetData>
    <row r="1" spans="1:17" ht="21" x14ac:dyDescent="0.35">
      <c r="A1" s="2" t="s">
        <v>170</v>
      </c>
      <c r="B1" s="1"/>
    </row>
    <row r="3" spans="1:17" x14ac:dyDescent="0.25">
      <c r="A3" t="s">
        <v>141</v>
      </c>
    </row>
    <row r="4" spans="1:17" x14ac:dyDescent="0.25">
      <c r="A4" t="s">
        <v>220</v>
      </c>
    </row>
    <row r="6" spans="1:17" x14ac:dyDescent="0.25">
      <c r="A6" s="94" t="s">
        <v>148</v>
      </c>
      <c r="B6" s="95"/>
      <c r="C6" s="59" t="s">
        <v>149</v>
      </c>
      <c r="E6" s="156" t="s">
        <v>68</v>
      </c>
      <c r="F6" s="157"/>
      <c r="G6" s="158"/>
      <c r="H6" s="164" t="s">
        <v>207</v>
      </c>
      <c r="I6" s="165"/>
      <c r="J6" s="165"/>
      <c r="K6" s="163"/>
      <c r="L6" s="139">
        <v>8</v>
      </c>
      <c r="O6" s="137" t="s">
        <v>206</v>
      </c>
      <c r="Q6" s="97"/>
    </row>
    <row r="7" spans="1:17" x14ac:dyDescent="0.25">
      <c r="A7" s="98" t="s">
        <v>150</v>
      </c>
      <c r="B7" s="96"/>
      <c r="C7" s="166" t="s">
        <v>151</v>
      </c>
      <c r="D7" s="167"/>
      <c r="E7" s="138" t="s">
        <v>178</v>
      </c>
      <c r="F7" s="97"/>
      <c r="H7" s="162" t="s">
        <v>152</v>
      </c>
      <c r="I7" s="162"/>
      <c r="J7" s="162"/>
      <c r="K7" s="163"/>
      <c r="L7" s="140">
        <f>1-(COUNTIF(C13:L13,"Oui" )/10)</f>
        <v>0</v>
      </c>
      <c r="O7" s="153" t="s">
        <v>221</v>
      </c>
      <c r="P7" s="97"/>
      <c r="Q7" s="97"/>
    </row>
    <row r="8" spans="1:17" ht="15.75" thickBot="1" x14ac:dyDescent="0.3">
      <c r="A8" s="98"/>
      <c r="B8" s="96"/>
      <c r="H8" t="s">
        <v>208</v>
      </c>
      <c r="L8" s="152">
        <f>O119</f>
        <v>330000</v>
      </c>
      <c r="P8" s="97"/>
      <c r="Q8" s="97"/>
    </row>
    <row r="9" spans="1:17" ht="15.75" thickBot="1" x14ac:dyDescent="0.3">
      <c r="A9" s="97"/>
      <c r="B9" s="97"/>
      <c r="C9" s="100" t="s">
        <v>8</v>
      </c>
      <c r="D9" s="101" t="s">
        <v>9</v>
      </c>
      <c r="E9" s="101" t="s">
        <v>10</v>
      </c>
      <c r="F9" s="101" t="s">
        <v>137</v>
      </c>
      <c r="G9" s="101" t="s">
        <v>11</v>
      </c>
      <c r="H9" s="101" t="s">
        <v>138</v>
      </c>
      <c r="I9" s="101" t="s">
        <v>139</v>
      </c>
      <c r="J9" s="101" t="s">
        <v>12</v>
      </c>
      <c r="K9" s="101" t="s">
        <v>13</v>
      </c>
      <c r="L9" s="102" t="s">
        <v>105</v>
      </c>
    </row>
    <row r="10" spans="1:17" x14ac:dyDescent="0.25">
      <c r="A10" s="103" t="s">
        <v>153</v>
      </c>
      <c r="B10" s="97"/>
      <c r="C10" s="136">
        <v>120</v>
      </c>
      <c r="D10" s="104">
        <v>120</v>
      </c>
      <c r="E10" s="104">
        <v>120</v>
      </c>
      <c r="F10" s="104">
        <v>120</v>
      </c>
      <c r="G10" s="104">
        <v>120</v>
      </c>
      <c r="H10" s="104">
        <v>120</v>
      </c>
      <c r="I10" s="104">
        <v>120</v>
      </c>
      <c r="J10" s="104">
        <v>120</v>
      </c>
      <c r="K10" s="104">
        <v>120</v>
      </c>
      <c r="L10" s="135">
        <v>120</v>
      </c>
    </row>
    <row r="11" spans="1:17" x14ac:dyDescent="0.25">
      <c r="A11" s="103" t="s">
        <v>154</v>
      </c>
      <c r="B11" s="97"/>
      <c r="C11" s="105">
        <f>15*L6</f>
        <v>120</v>
      </c>
      <c r="D11" s="105">
        <f>15*L6</f>
        <v>120</v>
      </c>
      <c r="E11" s="105">
        <f>15*L6</f>
        <v>120</v>
      </c>
      <c r="F11" s="105">
        <f>15*L6</f>
        <v>120</v>
      </c>
      <c r="G11" s="105">
        <f>15*L6</f>
        <v>120</v>
      </c>
      <c r="H11" s="105">
        <f>15*L6</f>
        <v>120</v>
      </c>
      <c r="I11" s="105">
        <f>15*L6</f>
        <v>120</v>
      </c>
      <c r="J11" s="105">
        <f>15*L6</f>
        <v>120</v>
      </c>
      <c r="K11" s="105">
        <f>15*L6</f>
        <v>120</v>
      </c>
      <c r="L11" s="105">
        <f>15*L6</f>
        <v>120</v>
      </c>
    </row>
    <row r="12" spans="1:17" x14ac:dyDescent="0.25">
      <c r="A12" s="103" t="s">
        <v>155</v>
      </c>
      <c r="B12" s="97"/>
      <c r="C12" s="106">
        <f>C119</f>
        <v>70</v>
      </c>
      <c r="D12" s="106">
        <f>D119</f>
        <v>180</v>
      </c>
      <c r="E12" s="106">
        <f t="shared" ref="E12:L12" si="0">E119</f>
        <v>630</v>
      </c>
      <c r="F12" s="106">
        <f t="shared" si="0"/>
        <v>0</v>
      </c>
      <c r="G12" s="106">
        <f t="shared" si="0"/>
        <v>360</v>
      </c>
      <c r="H12" s="106">
        <f t="shared" si="0"/>
        <v>140</v>
      </c>
      <c r="I12" s="106">
        <f t="shared" si="0"/>
        <v>0</v>
      </c>
      <c r="J12" s="106">
        <f t="shared" si="0"/>
        <v>20</v>
      </c>
      <c r="K12" s="106">
        <f t="shared" si="0"/>
        <v>160</v>
      </c>
      <c r="L12" s="106">
        <f t="shared" si="0"/>
        <v>180</v>
      </c>
    </row>
    <row r="13" spans="1:17" x14ac:dyDescent="0.25">
      <c r="A13" s="88" t="s">
        <v>156</v>
      </c>
      <c r="B13" s="97"/>
      <c r="C13" s="107" t="str">
        <f>IF((C10-C11) &gt;= 0,"Oui","Non")</f>
        <v>Oui</v>
      </c>
      <c r="D13" s="107" t="str">
        <f t="shared" ref="D13:L13" si="1">IF((D10-D11) &gt;= 0,"Oui","Non")</f>
        <v>Oui</v>
      </c>
      <c r="E13" s="107" t="str">
        <f t="shared" si="1"/>
        <v>Oui</v>
      </c>
      <c r="F13" s="107" t="str">
        <f t="shared" si="1"/>
        <v>Oui</v>
      </c>
      <c r="G13" s="107" t="str">
        <f t="shared" si="1"/>
        <v>Oui</v>
      </c>
      <c r="H13" s="107" t="str">
        <f t="shared" si="1"/>
        <v>Oui</v>
      </c>
      <c r="I13" s="107" t="str">
        <f t="shared" si="1"/>
        <v>Oui</v>
      </c>
      <c r="J13" s="107" t="str">
        <f t="shared" si="1"/>
        <v>Oui</v>
      </c>
      <c r="K13" s="107" t="str">
        <f t="shared" si="1"/>
        <v>Oui</v>
      </c>
      <c r="L13" s="107" t="str">
        <f t="shared" si="1"/>
        <v>Oui</v>
      </c>
    </row>
    <row r="14" spans="1:17" x14ac:dyDescent="0.25">
      <c r="A14" s="103" t="s">
        <v>157</v>
      </c>
      <c r="B14" s="97"/>
      <c r="C14" s="108">
        <f>IF(C13="OUI",C10-C11+C12,C10+C12)</f>
        <v>70</v>
      </c>
      <c r="D14" s="108">
        <f>IF(D13="OUI",D10-D11+D12,D10+D12)</f>
        <v>180</v>
      </c>
      <c r="E14" s="108">
        <f t="shared" ref="E14:L14" si="2">IF(E13="OUI",E10-E11+E12,E10+E12)</f>
        <v>630</v>
      </c>
      <c r="F14" s="108">
        <f t="shared" si="2"/>
        <v>0</v>
      </c>
      <c r="G14" s="108">
        <f t="shared" si="2"/>
        <v>360</v>
      </c>
      <c r="H14" s="108">
        <f t="shared" si="2"/>
        <v>140</v>
      </c>
      <c r="I14" s="108">
        <f t="shared" si="2"/>
        <v>0</v>
      </c>
      <c r="J14" s="108">
        <f t="shared" si="2"/>
        <v>20</v>
      </c>
      <c r="K14" s="108">
        <f t="shared" si="2"/>
        <v>160</v>
      </c>
      <c r="L14" s="108">
        <f t="shared" si="2"/>
        <v>180</v>
      </c>
    </row>
    <row r="15" spans="1:17" x14ac:dyDescent="0.25">
      <c r="A15" s="103" t="s">
        <v>162</v>
      </c>
      <c r="B15" s="97"/>
      <c r="C15" s="142">
        <v>50</v>
      </c>
      <c r="D15" s="142"/>
      <c r="E15" s="142"/>
      <c r="F15" s="142">
        <v>120</v>
      </c>
      <c r="G15" s="142"/>
      <c r="H15" s="142"/>
      <c r="I15" s="142">
        <v>120</v>
      </c>
      <c r="J15" s="142">
        <v>100</v>
      </c>
      <c r="K15" s="142"/>
      <c r="L15" s="142"/>
    </row>
    <row r="16" spans="1:17" x14ac:dyDescent="0.25">
      <c r="A16" s="103" t="s">
        <v>165</v>
      </c>
      <c r="B16" s="97"/>
      <c r="C16" s="142"/>
      <c r="D16" s="142"/>
      <c r="E16" s="142"/>
      <c r="F16" s="142"/>
      <c r="G16" s="142"/>
      <c r="H16" s="142"/>
      <c r="I16" s="142"/>
      <c r="J16" s="142"/>
      <c r="K16" s="142"/>
      <c r="L16" s="142"/>
    </row>
    <row r="17" spans="1:17" x14ac:dyDescent="0.25">
      <c r="A17" s="103" t="s">
        <v>163</v>
      </c>
      <c r="B17" s="97"/>
      <c r="C17" s="141"/>
      <c r="D17" s="141">
        <v>50</v>
      </c>
      <c r="E17" s="141">
        <v>165</v>
      </c>
      <c r="F17" s="141"/>
      <c r="G17" s="141">
        <v>70</v>
      </c>
      <c r="H17" s="141">
        <v>20</v>
      </c>
      <c r="I17" s="141"/>
      <c r="J17" s="141"/>
      <c r="K17" s="141"/>
      <c r="L17" s="141">
        <v>60</v>
      </c>
    </row>
    <row r="18" spans="1:17" x14ac:dyDescent="0.25">
      <c r="A18" s="103" t="s">
        <v>164</v>
      </c>
      <c r="B18" s="97"/>
      <c r="C18" s="141"/>
      <c r="D18" s="141"/>
      <c r="E18" s="141"/>
      <c r="F18" s="141"/>
      <c r="G18" s="141"/>
      <c r="H18" s="141"/>
      <c r="I18" s="141"/>
      <c r="J18" s="141"/>
      <c r="K18" s="141"/>
      <c r="L18" s="141"/>
    </row>
    <row r="19" spans="1:17" x14ac:dyDescent="0.25">
      <c r="A19" s="109" t="s">
        <v>158</v>
      </c>
      <c r="B19" s="97"/>
      <c r="C19" s="110">
        <f>C14+C15+C16-C17-C18</f>
        <v>120</v>
      </c>
      <c r="D19" s="110">
        <f>D14+D15+D16-D17-D18</f>
        <v>130</v>
      </c>
      <c r="E19" s="110">
        <f t="shared" ref="E19:K19" si="3">E14+E15+E16-E17-E18</f>
        <v>465</v>
      </c>
      <c r="F19" s="110">
        <f>F14+F15+F16-F17-F18</f>
        <v>120</v>
      </c>
      <c r="G19" s="110">
        <f t="shared" si="3"/>
        <v>290</v>
      </c>
      <c r="H19" s="110">
        <f t="shared" si="3"/>
        <v>120</v>
      </c>
      <c r="I19" s="110">
        <f t="shared" si="3"/>
        <v>120</v>
      </c>
      <c r="J19" s="110">
        <f t="shared" si="3"/>
        <v>120</v>
      </c>
      <c r="K19" s="110">
        <f t="shared" si="3"/>
        <v>160</v>
      </c>
      <c r="L19" s="110">
        <f>L14+L15+L16-L17-L18</f>
        <v>120</v>
      </c>
    </row>
    <row r="20" spans="1:17" x14ac:dyDescent="0.25">
      <c r="A20" s="103" t="s">
        <v>161</v>
      </c>
      <c r="B20" s="97"/>
      <c r="C20" s="111">
        <f>(COUNTIF(M27:M111,"Possédée")+COUNTIF(M27:M111,"Assiégée"))*15</f>
        <v>150</v>
      </c>
      <c r="D20" s="111">
        <f>(COUNTIF(M27:M111,"Possédée")+COUNTIF(M27:M111,"Assiégée"))*15</f>
        <v>150</v>
      </c>
      <c r="E20" s="111">
        <f>(COUNTIF(M27:M111,"Possédée")+COUNTIF(M27:M111,"Assiégée"))*15</f>
        <v>150</v>
      </c>
      <c r="F20" s="111">
        <f>(COUNTIF(M27:M111,"Possédée")+COUNTIF(M27:M111,"Assiégée"))*15</f>
        <v>150</v>
      </c>
      <c r="G20" s="111">
        <f>(COUNTIF(M27:M111,"Possédée")+COUNTIF(M27:M111,"Assiégée"))*15</f>
        <v>150</v>
      </c>
      <c r="H20" s="111">
        <f>(COUNTIF(M27:M111,"Possédée")+COUNTIF(M27:M111,"Assiégée"))*15</f>
        <v>150</v>
      </c>
      <c r="I20" s="111">
        <f>(COUNTIF(M27:M111,"Possédée")+COUNTIF(M27:M111,"Assiégée"))*15</f>
        <v>150</v>
      </c>
      <c r="J20" s="111">
        <f>(COUNTIF(M27:M111,"Possédée")+COUNTIF(M27:M111,"Assiégée"))*15</f>
        <v>150</v>
      </c>
      <c r="K20" s="111">
        <f>(COUNTIF(M27:M111,"Possédée")+COUNTIF(M27:M111,"Assiégée"))*15</f>
        <v>150</v>
      </c>
      <c r="L20" s="111">
        <f>(COUNTIF(M27:M111,"Possédée")+COUNTIF(M27:M111,"Assiégée"))*15</f>
        <v>150</v>
      </c>
    </row>
    <row r="21" spans="1:17" x14ac:dyDescent="0.25">
      <c r="A21" s="103" t="s">
        <v>159</v>
      </c>
      <c r="B21" s="97"/>
      <c r="C21" s="112">
        <f>C19-C20</f>
        <v>-30</v>
      </c>
      <c r="D21" s="112">
        <f t="shared" ref="D21:L21" si="4">D19-D20</f>
        <v>-20</v>
      </c>
      <c r="E21" s="112">
        <f>E19-E20</f>
        <v>315</v>
      </c>
      <c r="F21" s="112">
        <f>F19-F20</f>
        <v>-30</v>
      </c>
      <c r="G21" s="112">
        <f t="shared" si="4"/>
        <v>140</v>
      </c>
      <c r="H21" s="112">
        <f t="shared" si="4"/>
        <v>-30</v>
      </c>
      <c r="I21" s="112">
        <f t="shared" si="4"/>
        <v>-30</v>
      </c>
      <c r="J21" s="112">
        <f t="shared" si="4"/>
        <v>-30</v>
      </c>
      <c r="K21" s="112">
        <f t="shared" si="4"/>
        <v>10</v>
      </c>
      <c r="L21" s="112">
        <f t="shared" si="4"/>
        <v>-30</v>
      </c>
    </row>
    <row r="22" spans="1:17" x14ac:dyDescent="0.25">
      <c r="A22" s="103"/>
      <c r="B22" s="97"/>
    </row>
    <row r="23" spans="1:17" x14ac:dyDescent="0.25">
      <c r="O23" s="99" t="s">
        <v>176</v>
      </c>
    </row>
    <row r="24" spans="1:17" ht="15.75" thickBot="1" x14ac:dyDescent="0.3">
      <c r="A24" s="114" t="s">
        <v>160</v>
      </c>
      <c r="H24" s="97"/>
      <c r="I24" s="97"/>
      <c r="J24" s="97"/>
    </row>
    <row r="25" spans="1:17" ht="15.75" thickBot="1" x14ac:dyDescent="0.3">
      <c r="A25" s="121" t="s">
        <v>168</v>
      </c>
      <c r="B25" s="75" t="s">
        <v>167</v>
      </c>
      <c r="C25" s="159" t="s">
        <v>169</v>
      </c>
      <c r="D25" s="160"/>
      <c r="E25" s="160"/>
      <c r="F25" s="160"/>
      <c r="G25" s="160"/>
      <c r="H25" s="160"/>
      <c r="I25" s="160"/>
      <c r="J25" s="160"/>
      <c r="K25" s="160"/>
      <c r="L25" s="161"/>
      <c r="M25" s="129" t="s">
        <v>171</v>
      </c>
      <c r="N25" s="115" t="s">
        <v>172</v>
      </c>
      <c r="O25" s="129" t="s">
        <v>213</v>
      </c>
      <c r="P25" s="154" t="s">
        <v>203</v>
      </c>
      <c r="Q25" s="155"/>
    </row>
    <row r="26" spans="1:17" ht="15.75" thickBot="1" x14ac:dyDescent="0.3">
      <c r="A26" s="3" t="s">
        <v>22</v>
      </c>
      <c r="B26" s="120" t="s">
        <v>166</v>
      </c>
      <c r="C26" s="91" t="s">
        <v>8</v>
      </c>
      <c r="D26" s="92" t="s">
        <v>9</v>
      </c>
      <c r="E26" s="92" t="s">
        <v>10</v>
      </c>
      <c r="F26" s="92" t="s">
        <v>137</v>
      </c>
      <c r="G26" s="92" t="s">
        <v>11</v>
      </c>
      <c r="H26" s="92" t="s">
        <v>138</v>
      </c>
      <c r="I26" s="92" t="s">
        <v>139</v>
      </c>
      <c r="J26" s="92" t="s">
        <v>12</v>
      </c>
      <c r="K26" s="92" t="s">
        <v>13</v>
      </c>
      <c r="L26" s="93" t="s">
        <v>105</v>
      </c>
      <c r="M26" s="130" t="s">
        <v>175</v>
      </c>
      <c r="N26" s="118" t="s">
        <v>177</v>
      </c>
      <c r="O26" s="130" t="s">
        <v>214</v>
      </c>
      <c r="P26" s="147" t="s">
        <v>204</v>
      </c>
      <c r="Q26" s="148" t="s">
        <v>205</v>
      </c>
    </row>
    <row r="27" spans="1:17" x14ac:dyDescent="0.25">
      <c r="A27" t="s">
        <v>0</v>
      </c>
      <c r="B27" s="115">
        <v>15</v>
      </c>
      <c r="C27" s="15"/>
      <c r="D27" s="15"/>
      <c r="E27" s="15"/>
      <c r="F27" s="15"/>
      <c r="G27" s="15"/>
      <c r="H27" s="15"/>
      <c r="I27" s="15">
        <f>TRUNC(90*Q27*(1-L7)*(1-N27))</f>
        <v>0</v>
      </c>
      <c r="J27" s="15"/>
      <c r="K27" s="15"/>
      <c r="L27" s="16">
        <f>TRUNC(120*Q27*(1-L7)*(1-N27))</f>
        <v>0</v>
      </c>
      <c r="M27" s="126" t="s">
        <v>173</v>
      </c>
      <c r="N27" s="123">
        <v>0</v>
      </c>
      <c r="O27" s="149">
        <f>IF(E$6="Archipel de l'Automne",60000*Q27*(1-L$7)*(1-N27),30000*Q27*(1-L$7)*(1-N27))</f>
        <v>0</v>
      </c>
      <c r="P27" s="143">
        <f>IF(OR(M27="Possédée",M27="Assiégée"),B27,0)</f>
        <v>0</v>
      </c>
      <c r="Q27" s="144">
        <f>IF(M27="Possédée",1,IF(M27="Assiégée",0.5,0))</f>
        <v>0</v>
      </c>
    </row>
    <row r="28" spans="1:17" x14ac:dyDescent="0.25">
      <c r="A28" t="s">
        <v>1</v>
      </c>
      <c r="B28" s="116">
        <v>15</v>
      </c>
      <c r="C28" s="17"/>
      <c r="D28" s="17"/>
      <c r="E28" s="17"/>
      <c r="F28" s="17"/>
      <c r="G28" s="17">
        <f>TRUNC(30*Q28*(1-L7)*(1-N28))</f>
        <v>0</v>
      </c>
      <c r="H28" s="17"/>
      <c r="I28" s="17"/>
      <c r="J28" s="17"/>
      <c r="K28" s="17"/>
      <c r="L28" s="18">
        <f>TRUNC(140*Q28*(1-L7)*(1-N28))</f>
        <v>0</v>
      </c>
      <c r="M28" s="127" t="s">
        <v>173</v>
      </c>
      <c r="N28" s="124">
        <v>0</v>
      </c>
      <c r="O28" s="150">
        <f>30000*Q28*(1-L$7)*(1-N28)</f>
        <v>0</v>
      </c>
      <c r="P28" s="145">
        <f>IF(OR(M28="Possédée",M28="Assiégée"),B28,0)</f>
        <v>0</v>
      </c>
      <c r="Q28" s="146">
        <f t="shared" ref="Q28:Q91" si="5">IF(M28="Possédée",1,IF(M28="Assiégée",0.5,0))</f>
        <v>0</v>
      </c>
    </row>
    <row r="29" spans="1:17" x14ac:dyDescent="0.25">
      <c r="A29" t="s">
        <v>2</v>
      </c>
      <c r="B29" s="116">
        <v>15</v>
      </c>
      <c r="C29" s="17">
        <f>TRUNC(60*Q29*(1-L7)*(1-N29))</f>
        <v>0</v>
      </c>
      <c r="D29" s="17"/>
      <c r="E29" s="17"/>
      <c r="F29" s="17"/>
      <c r="G29" s="17"/>
      <c r="H29" s="17"/>
      <c r="I29" s="17">
        <f>TRUNC(110*Q29*(1-L7)*(1-N29))</f>
        <v>0</v>
      </c>
      <c r="J29" s="17"/>
      <c r="K29" s="17"/>
      <c r="L29" s="18"/>
      <c r="M29" s="127" t="s">
        <v>173</v>
      </c>
      <c r="N29" s="124">
        <v>0</v>
      </c>
      <c r="O29" s="150">
        <f t="shared" ref="O29:O34" si="6">30000*Q29*(1-L$7)*(1-N29)</f>
        <v>0</v>
      </c>
      <c r="P29" s="145">
        <f t="shared" ref="P29:P92" si="7">IF(OR(M29="Possédée",M29="Assiégée"),B29,0)</f>
        <v>0</v>
      </c>
      <c r="Q29" s="146">
        <f t="shared" si="5"/>
        <v>0</v>
      </c>
    </row>
    <row r="30" spans="1:17" x14ac:dyDescent="0.25">
      <c r="A30" t="s">
        <v>3</v>
      </c>
      <c r="B30" s="116">
        <v>15</v>
      </c>
      <c r="C30" s="17">
        <f>TRUNC(40*Q30*(1-L7)*(1-N30))</f>
        <v>0</v>
      </c>
      <c r="D30" s="17"/>
      <c r="E30" s="17"/>
      <c r="F30" s="17"/>
      <c r="G30" s="17"/>
      <c r="H30" s="17"/>
      <c r="I30" s="17">
        <f>TRUNC(60*Q30*(1-L7)*(1-N30))</f>
        <v>0</v>
      </c>
      <c r="J30" s="17"/>
      <c r="K30" s="17">
        <f>TRUNC(70*Q30*(1-L7)*(1-N30))</f>
        <v>0</v>
      </c>
      <c r="L30" s="18"/>
      <c r="M30" s="127" t="s">
        <v>173</v>
      </c>
      <c r="N30" s="124">
        <v>0</v>
      </c>
      <c r="O30" s="150">
        <f t="shared" si="6"/>
        <v>0</v>
      </c>
      <c r="P30" s="145">
        <f t="shared" si="7"/>
        <v>0</v>
      </c>
      <c r="Q30" s="146">
        <f t="shared" si="5"/>
        <v>0</v>
      </c>
    </row>
    <row r="31" spans="1:17" x14ac:dyDescent="0.25">
      <c r="A31" t="s">
        <v>4</v>
      </c>
      <c r="B31" s="116">
        <v>15</v>
      </c>
      <c r="C31" s="17"/>
      <c r="D31" s="17"/>
      <c r="E31" s="17"/>
      <c r="F31" s="17"/>
      <c r="G31" s="17"/>
      <c r="H31" s="17"/>
      <c r="I31" s="17">
        <f>TRUNC(80*Q31*(1-L7)*(1-N31))</f>
        <v>0</v>
      </c>
      <c r="J31" s="17"/>
      <c r="K31" s="17"/>
      <c r="L31" s="18">
        <f>TRUNC(90*Q31*(1-L7)*(1-N31))</f>
        <v>0</v>
      </c>
      <c r="M31" s="127" t="s">
        <v>173</v>
      </c>
      <c r="N31" s="124">
        <v>0</v>
      </c>
      <c r="O31" s="150">
        <f t="shared" si="6"/>
        <v>0</v>
      </c>
      <c r="P31" s="145">
        <f t="shared" si="7"/>
        <v>0</v>
      </c>
      <c r="Q31" s="146">
        <f t="shared" si="5"/>
        <v>0</v>
      </c>
    </row>
    <row r="32" spans="1:17" x14ac:dyDescent="0.25">
      <c r="A32" t="s">
        <v>5</v>
      </c>
      <c r="B32" s="116">
        <v>15</v>
      </c>
      <c r="C32" s="17"/>
      <c r="D32" s="17"/>
      <c r="E32" s="17"/>
      <c r="F32" s="17"/>
      <c r="G32" s="17"/>
      <c r="H32" s="17"/>
      <c r="I32" s="17"/>
      <c r="J32" s="17"/>
      <c r="K32" s="17">
        <f>TRUNC(170*Q32*(1-L7)*(1-N32))</f>
        <v>0</v>
      </c>
      <c r="L32" s="18"/>
      <c r="M32" s="127" t="s">
        <v>173</v>
      </c>
      <c r="N32" s="124">
        <v>0</v>
      </c>
      <c r="O32" s="150">
        <f t="shared" si="6"/>
        <v>0</v>
      </c>
      <c r="P32" s="145">
        <f t="shared" si="7"/>
        <v>0</v>
      </c>
      <c r="Q32" s="146">
        <f t="shared" si="5"/>
        <v>0</v>
      </c>
    </row>
    <row r="33" spans="1:17" x14ac:dyDescent="0.25">
      <c r="A33" t="s">
        <v>6</v>
      </c>
      <c r="B33" s="116">
        <v>15</v>
      </c>
      <c r="C33" s="17">
        <f>TRUNC(40*Q33*(1-L7)*(1-N33))</f>
        <v>0</v>
      </c>
      <c r="D33" s="17"/>
      <c r="E33" s="17"/>
      <c r="F33" s="17">
        <f>TRUNC(130*Q33*(1-L7)*(1-N33))</f>
        <v>0</v>
      </c>
      <c r="G33" s="17"/>
      <c r="H33" s="17"/>
      <c r="I33" s="17"/>
      <c r="J33" s="17"/>
      <c r="K33" s="17"/>
      <c r="L33" s="18"/>
      <c r="M33" s="127" t="s">
        <v>173</v>
      </c>
      <c r="N33" s="124">
        <v>0</v>
      </c>
      <c r="O33" s="150">
        <f t="shared" si="6"/>
        <v>0</v>
      </c>
      <c r="P33" s="145">
        <f t="shared" si="7"/>
        <v>0</v>
      </c>
      <c r="Q33" s="146">
        <f t="shared" si="5"/>
        <v>0</v>
      </c>
    </row>
    <row r="34" spans="1:17" ht="15.75" thickBot="1" x14ac:dyDescent="0.3">
      <c r="A34" t="s">
        <v>7</v>
      </c>
      <c r="B34" s="116">
        <v>15</v>
      </c>
      <c r="C34" s="17"/>
      <c r="D34" s="17">
        <f>TRUNC(70*Q34*(1-L7)*(1-N34))</f>
        <v>0</v>
      </c>
      <c r="E34" s="17"/>
      <c r="F34" s="17"/>
      <c r="G34" s="17"/>
      <c r="H34" s="17"/>
      <c r="I34" s="17"/>
      <c r="J34" s="17"/>
      <c r="K34" s="17"/>
      <c r="L34" s="18">
        <f>TRUNC(100*Q34*(1-L7)*(1-N34))</f>
        <v>0</v>
      </c>
      <c r="M34" s="127" t="s">
        <v>173</v>
      </c>
      <c r="N34" s="124">
        <v>0</v>
      </c>
      <c r="O34" s="150">
        <f t="shared" si="6"/>
        <v>0</v>
      </c>
      <c r="P34" s="145">
        <f>IF(OR(M34="Possédée",M34="Assiégée"),B34,0)</f>
        <v>0</v>
      </c>
      <c r="Q34" s="146">
        <f t="shared" si="5"/>
        <v>0</v>
      </c>
    </row>
    <row r="35" spans="1:17" ht="15.75" thickBot="1" x14ac:dyDescent="0.3">
      <c r="A35" s="10" t="s">
        <v>23</v>
      </c>
      <c r="B35" s="117" t="s">
        <v>166</v>
      </c>
      <c r="C35" s="91" t="s">
        <v>8</v>
      </c>
      <c r="D35" s="92" t="s">
        <v>9</v>
      </c>
      <c r="E35" s="92" t="s">
        <v>10</v>
      </c>
      <c r="F35" s="92" t="s">
        <v>137</v>
      </c>
      <c r="G35" s="92" t="s">
        <v>11</v>
      </c>
      <c r="H35" s="92" t="s">
        <v>138</v>
      </c>
      <c r="I35" s="92" t="s">
        <v>139</v>
      </c>
      <c r="J35" s="92" t="s">
        <v>12</v>
      </c>
      <c r="K35" s="92" t="s">
        <v>13</v>
      </c>
      <c r="L35" s="93" t="s">
        <v>105</v>
      </c>
      <c r="M35" s="93"/>
      <c r="N35" s="93"/>
      <c r="O35" s="151"/>
      <c r="P35" s="147"/>
      <c r="Q35" s="148"/>
    </row>
    <row r="36" spans="1:17" x14ac:dyDescent="0.25">
      <c r="A36" t="s">
        <v>14</v>
      </c>
      <c r="B36" s="115">
        <v>15</v>
      </c>
      <c r="C36" s="19"/>
      <c r="D36" s="17"/>
      <c r="E36" s="17">
        <f>TRUNC(60*Q36*(1-L7)*(1-N36))</f>
        <v>0</v>
      </c>
      <c r="F36" s="17"/>
      <c r="G36" s="17">
        <f>TRUNC(150*Q36*(1-L7)*(1-N36))</f>
        <v>0</v>
      </c>
      <c r="H36" s="17"/>
      <c r="I36" s="17"/>
      <c r="J36" s="17"/>
      <c r="K36" s="17"/>
      <c r="L36" s="18"/>
      <c r="M36" s="127" t="s">
        <v>173</v>
      </c>
      <c r="N36" s="124">
        <v>0</v>
      </c>
      <c r="O36" s="149">
        <f>IF(E$6="Bordeciel",60000*Q36*(1-L$7)*(1-N36),30000*Q36*(1-L$7)*(1-N36))</f>
        <v>0</v>
      </c>
      <c r="P36" s="145">
        <f t="shared" si="7"/>
        <v>0</v>
      </c>
      <c r="Q36" s="146">
        <f t="shared" si="5"/>
        <v>0</v>
      </c>
    </row>
    <row r="37" spans="1:17" x14ac:dyDescent="0.25">
      <c r="A37" t="s">
        <v>15</v>
      </c>
      <c r="B37" s="116">
        <v>15</v>
      </c>
      <c r="C37" s="19"/>
      <c r="D37" s="17"/>
      <c r="E37" s="17"/>
      <c r="F37" s="17"/>
      <c r="G37" s="17"/>
      <c r="H37" s="17"/>
      <c r="I37" s="17"/>
      <c r="J37" s="17"/>
      <c r="K37" s="17">
        <f>TRUNC(170*Q37*(1-L7)*(1-N37))</f>
        <v>0</v>
      </c>
      <c r="L37" s="18"/>
      <c r="M37" s="127" t="s">
        <v>173</v>
      </c>
      <c r="N37" s="124">
        <v>0</v>
      </c>
      <c r="O37" s="150">
        <f>30000*Q37*(1-L$7)*(1-N37)</f>
        <v>0</v>
      </c>
      <c r="P37" s="145">
        <f t="shared" si="7"/>
        <v>0</v>
      </c>
      <c r="Q37" s="146">
        <f t="shared" si="5"/>
        <v>0</v>
      </c>
    </row>
    <row r="38" spans="1:17" x14ac:dyDescent="0.25">
      <c r="A38" t="s">
        <v>16</v>
      </c>
      <c r="B38" s="116">
        <v>15</v>
      </c>
      <c r="C38" s="19"/>
      <c r="D38" s="17">
        <f>TRUNC(130*Q38*(1-L7)*(1-N38))</f>
        <v>0</v>
      </c>
      <c r="E38" s="17"/>
      <c r="F38" s="17"/>
      <c r="G38" s="17">
        <f>TRUNC(40*Q38*(1-L7)*(1-N38))</f>
        <v>0</v>
      </c>
      <c r="H38" s="17"/>
      <c r="I38" s="17"/>
      <c r="J38" s="17"/>
      <c r="K38" s="17"/>
      <c r="L38" s="18"/>
      <c r="M38" s="127" t="s">
        <v>173</v>
      </c>
      <c r="N38" s="124">
        <v>0</v>
      </c>
      <c r="O38" s="150">
        <f t="shared" ref="O38:O43" si="8">30000*Q38*(1-L$7)*(1-N38)</f>
        <v>0</v>
      </c>
      <c r="P38" s="145">
        <f t="shared" si="7"/>
        <v>0</v>
      </c>
      <c r="Q38" s="146">
        <f t="shared" si="5"/>
        <v>0</v>
      </c>
    </row>
    <row r="39" spans="1:17" x14ac:dyDescent="0.25">
      <c r="A39" t="s">
        <v>17</v>
      </c>
      <c r="B39" s="116">
        <v>15</v>
      </c>
      <c r="C39" s="19">
        <f>TRUNC(70*Q39*(1-L7)*(1-N39))</f>
        <v>0</v>
      </c>
      <c r="D39" s="17">
        <f>TRUNC(60*Q39*(1-L7)*(1-N39))</f>
        <v>0</v>
      </c>
      <c r="E39" s="17">
        <f>TRUNC(40*Q39*(1-L7)*(1-N39))</f>
        <v>0</v>
      </c>
      <c r="F39" s="17"/>
      <c r="G39" s="17"/>
      <c r="H39" s="17"/>
      <c r="I39" s="17"/>
      <c r="J39" s="17"/>
      <c r="K39" s="17"/>
      <c r="L39" s="18"/>
      <c r="M39" s="127" t="s">
        <v>173</v>
      </c>
      <c r="N39" s="124">
        <v>0</v>
      </c>
      <c r="O39" s="150">
        <f t="shared" si="8"/>
        <v>0</v>
      </c>
      <c r="P39" s="145">
        <f t="shared" si="7"/>
        <v>0</v>
      </c>
      <c r="Q39" s="146">
        <f t="shared" si="5"/>
        <v>0</v>
      </c>
    </row>
    <row r="40" spans="1:17" x14ac:dyDescent="0.25">
      <c r="A40" t="s">
        <v>18</v>
      </c>
      <c r="B40" s="116">
        <v>15</v>
      </c>
      <c r="C40" s="19"/>
      <c r="D40" s="17">
        <f>TRUNC(20*Q40*(1-L7)*(1-N40))</f>
        <v>0</v>
      </c>
      <c r="E40" s="17"/>
      <c r="F40" s="17">
        <f>TRUNC(100*Q40*(1-L7)*(1-N40))</f>
        <v>0</v>
      </c>
      <c r="G40" s="17">
        <f>TRUNC(50*Q40*(1-L7)*(1-N40))</f>
        <v>0</v>
      </c>
      <c r="H40" s="17"/>
      <c r="I40" s="17"/>
      <c r="J40" s="17"/>
      <c r="K40" s="17"/>
      <c r="L40" s="18"/>
      <c r="M40" s="127" t="s">
        <v>173</v>
      </c>
      <c r="N40" s="124">
        <v>0</v>
      </c>
      <c r="O40" s="150">
        <f t="shared" si="8"/>
        <v>0</v>
      </c>
      <c r="P40" s="145">
        <f t="shared" si="7"/>
        <v>0</v>
      </c>
      <c r="Q40" s="146">
        <f t="shared" si="5"/>
        <v>0</v>
      </c>
    </row>
    <row r="41" spans="1:17" x14ac:dyDescent="0.25">
      <c r="A41" t="s">
        <v>19</v>
      </c>
      <c r="B41" s="116">
        <v>15</v>
      </c>
      <c r="C41" s="19"/>
      <c r="D41" s="17"/>
      <c r="E41" s="17"/>
      <c r="F41" s="17"/>
      <c r="G41" s="17">
        <f>TRUNC(170*Q41*(1-L7)*(1-N41))</f>
        <v>0</v>
      </c>
      <c r="H41" s="17"/>
      <c r="I41" s="17"/>
      <c r="J41" s="17"/>
      <c r="K41" s="17"/>
      <c r="L41" s="18"/>
      <c r="M41" s="127" t="s">
        <v>173</v>
      </c>
      <c r="N41" s="124">
        <v>0</v>
      </c>
      <c r="O41" s="150">
        <f t="shared" si="8"/>
        <v>0</v>
      </c>
      <c r="P41" s="145">
        <f t="shared" si="7"/>
        <v>0</v>
      </c>
      <c r="Q41" s="146">
        <f t="shared" si="5"/>
        <v>0</v>
      </c>
    </row>
    <row r="42" spans="1:17" x14ac:dyDescent="0.25">
      <c r="A42" t="s">
        <v>20</v>
      </c>
      <c r="B42" s="116">
        <v>15</v>
      </c>
      <c r="C42" s="19"/>
      <c r="D42" s="17"/>
      <c r="E42" s="17">
        <f>TRUNC(90*Q42*(1-L7)*(1-N42))</f>
        <v>0</v>
      </c>
      <c r="F42" s="17">
        <f>TRUNC(40*Q42*(1-L7)*(1-N42))</f>
        <v>0</v>
      </c>
      <c r="G42" s="17"/>
      <c r="H42" s="17"/>
      <c r="I42" s="17"/>
      <c r="J42" s="17"/>
      <c r="K42" s="17">
        <f>TRUNC(40*Q42*(1-L7)*(1-N42))</f>
        <v>0</v>
      </c>
      <c r="L42" s="18"/>
      <c r="M42" s="127" t="s">
        <v>173</v>
      </c>
      <c r="N42" s="124">
        <v>0</v>
      </c>
      <c r="O42" s="150">
        <f t="shared" si="8"/>
        <v>0</v>
      </c>
      <c r="P42" s="145">
        <f t="shared" si="7"/>
        <v>0</v>
      </c>
      <c r="Q42" s="146">
        <f t="shared" si="5"/>
        <v>0</v>
      </c>
    </row>
    <row r="43" spans="1:17" ht="15.75" thickBot="1" x14ac:dyDescent="0.3">
      <c r="A43" t="s">
        <v>21</v>
      </c>
      <c r="B43" s="116">
        <v>15</v>
      </c>
      <c r="C43" s="19"/>
      <c r="D43" s="17"/>
      <c r="E43" s="17"/>
      <c r="F43" s="17"/>
      <c r="G43" s="17">
        <f>TRUNC(70*Q43*(1-L7)*(1-N43))</f>
        <v>0</v>
      </c>
      <c r="H43" s="17"/>
      <c r="I43" s="17"/>
      <c r="J43" s="17"/>
      <c r="K43" s="17">
        <f>TRUNC(100*Q43*(1-L7)*(1-N43))</f>
        <v>0</v>
      </c>
      <c r="L43" s="18"/>
      <c r="M43" s="127" t="s">
        <v>173</v>
      </c>
      <c r="N43" s="124">
        <v>0</v>
      </c>
      <c r="O43" s="150">
        <f t="shared" si="8"/>
        <v>0</v>
      </c>
      <c r="P43" s="145">
        <f t="shared" si="7"/>
        <v>0</v>
      </c>
      <c r="Q43" s="146">
        <f t="shared" si="5"/>
        <v>0</v>
      </c>
    </row>
    <row r="44" spans="1:17" ht="15.75" thickBot="1" x14ac:dyDescent="0.3">
      <c r="A44" s="3" t="s">
        <v>24</v>
      </c>
      <c r="B44" s="117" t="s">
        <v>166</v>
      </c>
      <c r="C44" s="91" t="s">
        <v>8</v>
      </c>
      <c r="D44" s="92" t="s">
        <v>9</v>
      </c>
      <c r="E44" s="92" t="s">
        <v>10</v>
      </c>
      <c r="F44" s="92" t="s">
        <v>137</v>
      </c>
      <c r="G44" s="92" t="s">
        <v>11</v>
      </c>
      <c r="H44" s="92" t="s">
        <v>138</v>
      </c>
      <c r="I44" s="92" t="s">
        <v>139</v>
      </c>
      <c r="J44" s="92" t="s">
        <v>12</v>
      </c>
      <c r="K44" s="92" t="s">
        <v>13</v>
      </c>
      <c r="L44" s="93" t="s">
        <v>105</v>
      </c>
      <c r="M44" s="93"/>
      <c r="N44" s="93"/>
      <c r="O44" s="151"/>
      <c r="P44" s="147"/>
      <c r="Q44" s="148"/>
    </row>
    <row r="45" spans="1:17" x14ac:dyDescent="0.25">
      <c r="A45" t="s">
        <v>25</v>
      </c>
      <c r="B45" s="115">
        <v>15</v>
      </c>
      <c r="C45" s="15"/>
      <c r="D45" s="15">
        <f>TRUNC(20*Q45*(1-L7)*(1-N45))</f>
        <v>0</v>
      </c>
      <c r="E45" s="15"/>
      <c r="F45" s="15"/>
      <c r="G45" s="15"/>
      <c r="H45" s="15"/>
      <c r="I45" s="15">
        <f>TRUNC(150*Q45*(1-L7)*(1-N45))</f>
        <v>0</v>
      </c>
      <c r="J45" s="15"/>
      <c r="K45" s="15"/>
      <c r="L45" s="16">
        <f>TRUNC(40*Q45*(1-L7)*(1-N45))</f>
        <v>0</v>
      </c>
      <c r="M45" s="127" t="s">
        <v>173</v>
      </c>
      <c r="N45" s="124">
        <v>0</v>
      </c>
      <c r="O45" s="149">
        <f>IF(E$6="Cyrodiil",60000*Q45*(1-L$7)*(1-N45),30000*Q45*(1-L$7)*(1-N45))</f>
        <v>0</v>
      </c>
      <c r="P45" s="145">
        <f t="shared" si="7"/>
        <v>0</v>
      </c>
      <c r="Q45" s="146">
        <f t="shared" si="5"/>
        <v>0</v>
      </c>
    </row>
    <row r="46" spans="1:17" x14ac:dyDescent="0.25">
      <c r="A46" t="s">
        <v>27</v>
      </c>
      <c r="B46" s="116">
        <v>15</v>
      </c>
      <c r="C46" s="17"/>
      <c r="D46" s="17">
        <f>TRUNC(120*Q46*(1-L7)*(1-N46))</f>
        <v>120</v>
      </c>
      <c r="E46" s="17">
        <f>TRUNC(50*Q46*(1-L7)*(1-N46))</f>
        <v>50</v>
      </c>
      <c r="F46" s="17"/>
      <c r="G46" s="17"/>
      <c r="H46" s="17"/>
      <c r="I46" s="17"/>
      <c r="J46" s="17"/>
      <c r="K46" s="17"/>
      <c r="L46" s="18"/>
      <c r="M46" s="127" t="s">
        <v>174</v>
      </c>
      <c r="N46" s="124">
        <v>0</v>
      </c>
      <c r="O46" s="150">
        <f>30000*Q46*(1-L$7)*(1-N46)</f>
        <v>30000</v>
      </c>
      <c r="P46" s="145">
        <f t="shared" si="7"/>
        <v>15</v>
      </c>
      <c r="Q46" s="146">
        <f t="shared" si="5"/>
        <v>1</v>
      </c>
    </row>
    <row r="47" spans="1:17" x14ac:dyDescent="0.25">
      <c r="A47" t="s">
        <v>26</v>
      </c>
      <c r="B47" s="116">
        <v>15</v>
      </c>
      <c r="C47" s="17"/>
      <c r="D47" s="17">
        <f>TRUNC(60*Q47*(1-L7)*(1-N47))</f>
        <v>60</v>
      </c>
      <c r="E47" s="17">
        <f>TRUNC(110*Q47*(1-L7)*(1-N47))</f>
        <v>110</v>
      </c>
      <c r="F47" s="17"/>
      <c r="G47" s="17"/>
      <c r="H47" s="17"/>
      <c r="I47" s="17"/>
      <c r="J47" s="17"/>
      <c r="K47" s="17"/>
      <c r="L47" s="18"/>
      <c r="M47" s="127" t="s">
        <v>174</v>
      </c>
      <c r="N47" s="124">
        <v>0</v>
      </c>
      <c r="O47" s="150">
        <f>30000*Q47*(1-L$7)*(1-N47)</f>
        <v>30000</v>
      </c>
      <c r="P47" s="145">
        <f t="shared" si="7"/>
        <v>15</v>
      </c>
      <c r="Q47" s="146">
        <f t="shared" si="5"/>
        <v>1</v>
      </c>
    </row>
    <row r="48" spans="1:17" x14ac:dyDescent="0.25">
      <c r="A48" t="s">
        <v>28</v>
      </c>
      <c r="B48" s="116">
        <v>15</v>
      </c>
      <c r="C48" s="17"/>
      <c r="D48" s="17">
        <f>TRUNC(170*Q48*(1-L7)*(1-N48))</f>
        <v>0</v>
      </c>
      <c r="E48" s="17"/>
      <c r="F48" s="17"/>
      <c r="G48" s="17"/>
      <c r="H48" s="17"/>
      <c r="I48" s="17"/>
      <c r="J48" s="17"/>
      <c r="K48" s="17"/>
      <c r="L48" s="18"/>
      <c r="M48" s="127" t="s">
        <v>173</v>
      </c>
      <c r="N48" s="124">
        <v>0</v>
      </c>
      <c r="O48" s="150">
        <f t="shared" ref="O48:O53" si="9">30000*Q48*(1-L$7)*(1-N48)</f>
        <v>0</v>
      </c>
      <c r="P48" s="145">
        <f t="shared" si="7"/>
        <v>0</v>
      </c>
      <c r="Q48" s="146">
        <f t="shared" si="5"/>
        <v>0</v>
      </c>
    </row>
    <row r="49" spans="1:17" x14ac:dyDescent="0.25">
      <c r="A49" t="s">
        <v>29</v>
      </c>
      <c r="B49" s="116">
        <v>15</v>
      </c>
      <c r="C49" s="17"/>
      <c r="D49" s="17"/>
      <c r="E49" s="17"/>
      <c r="F49" s="17"/>
      <c r="G49" s="17"/>
      <c r="H49" s="17"/>
      <c r="I49" s="17"/>
      <c r="J49" s="17">
        <f>TRUNC(170*Q49*(1-L7)*(1-N49))</f>
        <v>0</v>
      </c>
      <c r="K49" s="17"/>
      <c r="L49" s="18"/>
      <c r="M49" s="127" t="s">
        <v>173</v>
      </c>
      <c r="N49" s="124">
        <v>0</v>
      </c>
      <c r="O49" s="150">
        <f t="shared" si="9"/>
        <v>0</v>
      </c>
      <c r="P49" s="145">
        <f t="shared" si="7"/>
        <v>0</v>
      </c>
      <c r="Q49" s="146">
        <f t="shared" si="5"/>
        <v>0</v>
      </c>
    </row>
    <row r="50" spans="1:17" x14ac:dyDescent="0.25">
      <c r="A50" t="s">
        <v>58</v>
      </c>
      <c r="B50" s="116">
        <v>15</v>
      </c>
      <c r="C50" s="17">
        <f>TRUNC(170*Q50*(1-L7)*(1-N50))</f>
        <v>0</v>
      </c>
      <c r="D50" s="17"/>
      <c r="E50" s="17"/>
      <c r="F50" s="17"/>
      <c r="G50" s="17"/>
      <c r="H50" s="17"/>
      <c r="I50" s="17"/>
      <c r="J50" s="17"/>
      <c r="K50" s="17"/>
      <c r="L50" s="18"/>
      <c r="M50" s="127" t="s">
        <v>173</v>
      </c>
      <c r="N50" s="124">
        <v>0</v>
      </c>
      <c r="O50" s="150">
        <f t="shared" si="9"/>
        <v>0</v>
      </c>
      <c r="P50" s="145">
        <f t="shared" si="7"/>
        <v>0</v>
      </c>
      <c r="Q50" s="146">
        <f t="shared" si="5"/>
        <v>0</v>
      </c>
    </row>
    <row r="51" spans="1:17" x14ac:dyDescent="0.25">
      <c r="A51" t="s">
        <v>30</v>
      </c>
      <c r="B51" s="116">
        <v>15</v>
      </c>
      <c r="C51" s="17">
        <f>TRUNC(100*Q51*(1-L7)*(1-N51))</f>
        <v>0</v>
      </c>
      <c r="D51" s="17"/>
      <c r="E51" s="17"/>
      <c r="F51" s="17"/>
      <c r="G51" s="17"/>
      <c r="H51" s="17"/>
      <c r="I51" s="17"/>
      <c r="J51" s="17">
        <f>TRUNC(70*Q51*(1-L7)*(1-N51))</f>
        <v>0</v>
      </c>
      <c r="K51" s="17"/>
      <c r="L51" s="18"/>
      <c r="M51" s="127" t="s">
        <v>173</v>
      </c>
      <c r="N51" s="124">
        <v>0</v>
      </c>
      <c r="O51" s="150">
        <f t="shared" si="9"/>
        <v>0</v>
      </c>
      <c r="P51" s="145">
        <f t="shared" si="7"/>
        <v>0</v>
      </c>
      <c r="Q51" s="146">
        <f t="shared" si="5"/>
        <v>0</v>
      </c>
    </row>
    <row r="52" spans="1:17" x14ac:dyDescent="0.25">
      <c r="A52" t="s">
        <v>31</v>
      </c>
      <c r="B52" s="116">
        <v>15</v>
      </c>
      <c r="C52" s="17">
        <f>TRUNC(90*Q52*(1-L7)*(1-N52))</f>
        <v>0</v>
      </c>
      <c r="D52" s="17"/>
      <c r="E52" s="17">
        <f>TRUNC(40*Q52*(1-L7)*(1-N52))</f>
        <v>0</v>
      </c>
      <c r="F52" s="17">
        <f>TRUNC(40*Q52*(1-L7)*(1-N52))</f>
        <v>0</v>
      </c>
      <c r="G52" s="17"/>
      <c r="H52" s="17"/>
      <c r="I52" s="17"/>
      <c r="J52" s="17"/>
      <c r="K52" s="17"/>
      <c r="L52" s="18"/>
      <c r="M52" s="127" t="s">
        <v>173</v>
      </c>
      <c r="N52" s="124">
        <v>0</v>
      </c>
      <c r="O52" s="150">
        <f t="shared" si="9"/>
        <v>0</v>
      </c>
      <c r="P52" s="145">
        <f t="shared" si="7"/>
        <v>0</v>
      </c>
      <c r="Q52" s="146">
        <f t="shared" si="5"/>
        <v>0</v>
      </c>
    </row>
    <row r="53" spans="1:17" ht="15.75" thickBot="1" x14ac:dyDescent="0.3">
      <c r="A53" t="s">
        <v>32</v>
      </c>
      <c r="B53" s="118">
        <v>15</v>
      </c>
      <c r="C53" s="20">
        <f>TRUNC(110*Q53*(1-L7)*(1-N53))</f>
        <v>0</v>
      </c>
      <c r="D53" s="21"/>
      <c r="E53" s="21"/>
      <c r="F53" s="21"/>
      <c r="G53" s="21"/>
      <c r="H53" s="21">
        <f>TRUNC(60*Q53*(1-L7)*(1-N53))</f>
        <v>0</v>
      </c>
      <c r="I53" s="21"/>
      <c r="J53" s="21"/>
      <c r="K53" s="21"/>
      <c r="L53" s="22"/>
      <c r="M53" s="127" t="s">
        <v>173</v>
      </c>
      <c r="N53" s="124">
        <v>0</v>
      </c>
      <c r="O53" s="150">
        <f t="shared" si="9"/>
        <v>0</v>
      </c>
      <c r="P53" s="145">
        <f t="shared" si="7"/>
        <v>0</v>
      </c>
      <c r="Q53" s="146">
        <f t="shared" si="5"/>
        <v>0</v>
      </c>
    </row>
    <row r="54" spans="1:17" ht="15.75" thickBot="1" x14ac:dyDescent="0.3">
      <c r="A54" s="3" t="s">
        <v>33</v>
      </c>
      <c r="B54" s="117" t="s">
        <v>166</v>
      </c>
      <c r="C54" s="91" t="s">
        <v>8</v>
      </c>
      <c r="D54" s="92" t="s">
        <v>9</v>
      </c>
      <c r="E54" s="92" t="s">
        <v>10</v>
      </c>
      <c r="F54" s="92" t="s">
        <v>137</v>
      </c>
      <c r="G54" s="92" t="s">
        <v>11</v>
      </c>
      <c r="H54" s="92" t="s">
        <v>138</v>
      </c>
      <c r="I54" s="92" t="s">
        <v>139</v>
      </c>
      <c r="J54" s="92" t="s">
        <v>12</v>
      </c>
      <c r="K54" s="92" t="s">
        <v>13</v>
      </c>
      <c r="L54" s="93" t="s">
        <v>105</v>
      </c>
      <c r="M54" s="93"/>
      <c r="N54" s="93"/>
      <c r="O54" s="151"/>
      <c r="P54" s="147"/>
      <c r="Q54" s="148"/>
    </row>
    <row r="55" spans="1:17" x14ac:dyDescent="0.25">
      <c r="A55" t="s">
        <v>34</v>
      </c>
      <c r="B55" s="115">
        <v>15</v>
      </c>
      <c r="C55" s="15"/>
      <c r="D55" s="15">
        <f>TRUNC(150*Q55*(1-L7)*(1-N55))</f>
        <v>0</v>
      </c>
      <c r="E55" s="15"/>
      <c r="F55" s="15"/>
      <c r="G55" s="15"/>
      <c r="H55" s="15"/>
      <c r="I55" s="15"/>
      <c r="J55" s="15">
        <f>TRUNC(60*Q55*(1-L7)*(1-N55))</f>
        <v>0</v>
      </c>
      <c r="K55" s="15"/>
      <c r="L55" s="16"/>
      <c r="M55" s="127" t="s">
        <v>173</v>
      </c>
      <c r="N55" s="124">
        <v>0</v>
      </c>
      <c r="O55" s="149">
        <f>IF(E$6="Elsweyr",60000*Q55*(1-L$7)*(1-N55),30000*Q55*(1-L$7)*(1-N55))</f>
        <v>0</v>
      </c>
      <c r="P55" s="145">
        <f t="shared" si="7"/>
        <v>0</v>
      </c>
      <c r="Q55" s="146">
        <f t="shared" si="5"/>
        <v>0</v>
      </c>
    </row>
    <row r="56" spans="1:17" x14ac:dyDescent="0.25">
      <c r="A56" t="s">
        <v>35</v>
      </c>
      <c r="B56" s="116">
        <v>15</v>
      </c>
      <c r="C56" s="17"/>
      <c r="D56" s="17"/>
      <c r="E56" s="17"/>
      <c r="F56" s="17">
        <f>TRUNC(70*Q56*(1-L7)*(1-N56))</f>
        <v>0</v>
      </c>
      <c r="G56" s="17"/>
      <c r="H56" s="17">
        <f>TRUNC(100*Q56*(1-L7)*(1-N56))</f>
        <v>0</v>
      </c>
      <c r="I56" s="17"/>
      <c r="J56" s="17"/>
      <c r="K56" s="17"/>
      <c r="L56" s="18"/>
      <c r="M56" s="127" t="s">
        <v>173</v>
      </c>
      <c r="N56" s="124">
        <v>0</v>
      </c>
      <c r="O56" s="150">
        <f t="shared" ref="O56:O61" si="10">30000*Q56*(1-L$7)*(1-N56)</f>
        <v>0</v>
      </c>
      <c r="P56" s="145">
        <f t="shared" si="7"/>
        <v>0</v>
      </c>
      <c r="Q56" s="146">
        <f t="shared" si="5"/>
        <v>0</v>
      </c>
    </row>
    <row r="57" spans="1:17" x14ac:dyDescent="0.25">
      <c r="A57" t="s">
        <v>36</v>
      </c>
      <c r="B57" s="116">
        <v>15</v>
      </c>
      <c r="C57" s="17"/>
      <c r="D57" s="17"/>
      <c r="E57" s="17"/>
      <c r="F57" s="17"/>
      <c r="G57" s="17"/>
      <c r="H57" s="17"/>
      <c r="I57" s="17"/>
      <c r="J57" s="17">
        <f>TRUNC(170*Q57*(1-L7)*(1-N57))</f>
        <v>0</v>
      </c>
      <c r="K57" s="17"/>
      <c r="L57" s="18"/>
      <c r="M57" s="127" t="s">
        <v>173</v>
      </c>
      <c r="N57" s="124">
        <v>0</v>
      </c>
      <c r="O57" s="150">
        <f t="shared" si="10"/>
        <v>0</v>
      </c>
      <c r="P57" s="145">
        <f t="shared" si="7"/>
        <v>0</v>
      </c>
      <c r="Q57" s="146">
        <f t="shared" si="5"/>
        <v>0</v>
      </c>
    </row>
    <row r="58" spans="1:17" x14ac:dyDescent="0.25">
      <c r="A58" t="s">
        <v>37</v>
      </c>
      <c r="B58" s="116">
        <v>15</v>
      </c>
      <c r="C58" s="17"/>
      <c r="D58" s="17"/>
      <c r="E58" s="17"/>
      <c r="F58" s="17"/>
      <c r="G58" s="17"/>
      <c r="H58" s="17">
        <f>TRUNC(170*Q58*(1-L7)*(1-N58))</f>
        <v>0</v>
      </c>
      <c r="I58" s="17"/>
      <c r="J58" s="17"/>
      <c r="K58" s="17"/>
      <c r="L58" s="18"/>
      <c r="M58" s="127" t="s">
        <v>173</v>
      </c>
      <c r="N58" s="124">
        <v>0</v>
      </c>
      <c r="O58" s="150">
        <f t="shared" si="10"/>
        <v>0</v>
      </c>
      <c r="P58" s="145">
        <f t="shared" si="7"/>
        <v>0</v>
      </c>
      <c r="Q58" s="146">
        <f t="shared" si="5"/>
        <v>0</v>
      </c>
    </row>
    <row r="59" spans="1:17" x14ac:dyDescent="0.25">
      <c r="A59" t="s">
        <v>38</v>
      </c>
      <c r="B59" s="116">
        <v>15</v>
      </c>
      <c r="C59" s="17"/>
      <c r="D59" s="17"/>
      <c r="E59" s="17"/>
      <c r="F59" s="17">
        <f>TRUNC(130*Q59*(1-L7)*(1-N59))</f>
        <v>0</v>
      </c>
      <c r="G59" s="17"/>
      <c r="H59" s="17"/>
      <c r="I59" s="17"/>
      <c r="J59" s="17">
        <f>TRUNC(40*Q59*(1-L7)*(1-N59))</f>
        <v>0</v>
      </c>
      <c r="K59" s="17"/>
      <c r="L59" s="18"/>
      <c r="M59" s="127" t="s">
        <v>173</v>
      </c>
      <c r="N59" s="124">
        <v>0</v>
      </c>
      <c r="O59" s="150">
        <f t="shared" si="10"/>
        <v>0</v>
      </c>
      <c r="P59" s="145">
        <f t="shared" si="7"/>
        <v>0</v>
      </c>
      <c r="Q59" s="146">
        <f t="shared" si="5"/>
        <v>0</v>
      </c>
    </row>
    <row r="60" spans="1:17" x14ac:dyDescent="0.25">
      <c r="A60" t="s">
        <v>39</v>
      </c>
      <c r="B60" s="116">
        <v>15</v>
      </c>
      <c r="C60" s="17"/>
      <c r="D60" s="17"/>
      <c r="E60" s="17"/>
      <c r="F60" s="17"/>
      <c r="G60" s="17"/>
      <c r="H60" s="17"/>
      <c r="I60" s="17"/>
      <c r="J60" s="17">
        <f>TRUNC(60*Q60*(1-L7)*(1-N60))</f>
        <v>0</v>
      </c>
      <c r="K60" s="17"/>
      <c r="L60" s="18">
        <f>TRUNC(110*Q60*(1-L7)*(1-N60))</f>
        <v>0</v>
      </c>
      <c r="M60" s="127" t="s">
        <v>173</v>
      </c>
      <c r="N60" s="124">
        <v>0</v>
      </c>
      <c r="O60" s="150">
        <f t="shared" si="10"/>
        <v>0</v>
      </c>
      <c r="P60" s="145">
        <f t="shared" si="7"/>
        <v>0</v>
      </c>
      <c r="Q60" s="146">
        <f t="shared" si="5"/>
        <v>0</v>
      </c>
    </row>
    <row r="61" spans="1:17" ht="15.75" thickBot="1" x14ac:dyDescent="0.3">
      <c r="A61" t="s">
        <v>40</v>
      </c>
      <c r="B61" s="116">
        <v>15</v>
      </c>
      <c r="C61" s="17">
        <f>TRUNC(30*Q61*(1-L7)*(1-N61))</f>
        <v>0</v>
      </c>
      <c r="D61" s="17"/>
      <c r="E61" s="17">
        <f>TRUNC(60*Q61*(1-L7)*(1-N61))</f>
        <v>0</v>
      </c>
      <c r="F61" s="17"/>
      <c r="G61" s="17"/>
      <c r="H61" s="17"/>
      <c r="I61" s="17"/>
      <c r="J61" s="17">
        <f>TRUNC(80*Q61*(1-L7)*(1-N61))</f>
        <v>0</v>
      </c>
      <c r="K61" s="17"/>
      <c r="L61" s="18"/>
      <c r="M61" s="127" t="s">
        <v>173</v>
      </c>
      <c r="N61" s="124">
        <v>0</v>
      </c>
      <c r="O61" s="150">
        <f t="shared" si="10"/>
        <v>0</v>
      </c>
      <c r="P61" s="145">
        <f t="shared" si="7"/>
        <v>0</v>
      </c>
      <c r="Q61" s="146">
        <f t="shared" si="5"/>
        <v>0</v>
      </c>
    </row>
    <row r="62" spans="1:17" ht="15.75" thickBot="1" x14ac:dyDescent="0.3">
      <c r="A62" s="3" t="s">
        <v>41</v>
      </c>
      <c r="B62" s="117" t="s">
        <v>166</v>
      </c>
      <c r="C62" s="91" t="s">
        <v>8</v>
      </c>
      <c r="D62" s="92" t="s">
        <v>9</v>
      </c>
      <c r="E62" s="92" t="s">
        <v>10</v>
      </c>
      <c r="F62" s="92" t="s">
        <v>137</v>
      </c>
      <c r="G62" s="92" t="s">
        <v>11</v>
      </c>
      <c r="H62" s="92" t="s">
        <v>138</v>
      </c>
      <c r="I62" s="92" t="s">
        <v>139</v>
      </c>
      <c r="J62" s="92" t="s">
        <v>12</v>
      </c>
      <c r="K62" s="92" t="s">
        <v>13</v>
      </c>
      <c r="L62" s="93" t="s">
        <v>105</v>
      </c>
      <c r="M62" s="93"/>
      <c r="N62" s="93"/>
      <c r="O62" s="151"/>
      <c r="P62" s="147"/>
      <c r="Q62" s="148"/>
    </row>
    <row r="63" spans="1:17" x14ac:dyDescent="0.25">
      <c r="A63" t="s">
        <v>42</v>
      </c>
      <c r="B63" s="115">
        <v>15</v>
      </c>
      <c r="C63" s="15"/>
      <c r="D63" s="15">
        <f>TRUNC(60*Q63*(1-L7)*(1-N63))</f>
        <v>0</v>
      </c>
      <c r="E63" s="15"/>
      <c r="F63" s="15"/>
      <c r="G63" s="15"/>
      <c r="H63" s="15"/>
      <c r="I63" s="15"/>
      <c r="J63" s="15"/>
      <c r="K63" s="15"/>
      <c r="L63" s="16">
        <f>TRUNC(150*Q63*(1-L7)*(1-N63))</f>
        <v>0</v>
      </c>
      <c r="M63" s="127" t="s">
        <v>173</v>
      </c>
      <c r="N63" s="124">
        <v>0</v>
      </c>
      <c r="O63" s="149">
        <f>IF(E$6="Hauteroche",60000*Q63*(1-L$7)*(1-N63),30000*Q63*(1-L$7)*(1-N63))</f>
        <v>0</v>
      </c>
      <c r="P63" s="145">
        <f t="shared" si="7"/>
        <v>0</v>
      </c>
      <c r="Q63" s="146">
        <f t="shared" si="5"/>
        <v>0</v>
      </c>
    </row>
    <row r="64" spans="1:17" x14ac:dyDescent="0.25">
      <c r="A64" t="s">
        <v>43</v>
      </c>
      <c r="B64" s="116">
        <v>15</v>
      </c>
      <c r="C64" s="17"/>
      <c r="D64" s="17">
        <f>TRUNC(70*Q64*(1-L7)*(1-N64))</f>
        <v>0</v>
      </c>
      <c r="E64" s="17"/>
      <c r="F64" s="17"/>
      <c r="G64" s="17"/>
      <c r="H64" s="17"/>
      <c r="I64" s="17"/>
      <c r="J64" s="17"/>
      <c r="K64" s="17"/>
      <c r="L64" s="18">
        <f>TRUNC(100*Q64*(1-L7)*(1-N64))</f>
        <v>0</v>
      </c>
      <c r="M64" s="127" t="s">
        <v>173</v>
      </c>
      <c r="N64" s="124">
        <v>0</v>
      </c>
      <c r="O64" s="150">
        <f t="shared" ref="O64:O70" si="11">30000*Q64*(1-L$7)*(1-N64)</f>
        <v>0</v>
      </c>
      <c r="P64" s="145">
        <f t="shared" si="7"/>
        <v>0</v>
      </c>
      <c r="Q64" s="146">
        <f t="shared" si="5"/>
        <v>0</v>
      </c>
    </row>
    <row r="65" spans="1:17" x14ac:dyDescent="0.25">
      <c r="A65" t="s">
        <v>44</v>
      </c>
      <c r="B65" s="116">
        <v>15</v>
      </c>
      <c r="C65" s="17"/>
      <c r="D65" s="17">
        <f>TRUNC(80*Q65*(1-L7)*(1-N65))</f>
        <v>0</v>
      </c>
      <c r="E65" s="17">
        <f>TRUNC(20*Q65*(1-L7)*(1-N65))</f>
        <v>0</v>
      </c>
      <c r="F65" s="17"/>
      <c r="G65" s="17"/>
      <c r="H65" s="17"/>
      <c r="I65" s="17"/>
      <c r="J65" s="17"/>
      <c r="K65" s="17">
        <f>TRUNC(70*Q65*(1-L7)*(1-N65))</f>
        <v>0</v>
      </c>
      <c r="L65" s="18"/>
      <c r="M65" s="127" t="s">
        <v>173</v>
      </c>
      <c r="N65" s="124">
        <v>0</v>
      </c>
      <c r="O65" s="150">
        <f t="shared" si="11"/>
        <v>0</v>
      </c>
      <c r="P65" s="145">
        <f t="shared" si="7"/>
        <v>0</v>
      </c>
      <c r="Q65" s="146">
        <f t="shared" si="5"/>
        <v>0</v>
      </c>
    </row>
    <row r="66" spans="1:17" x14ac:dyDescent="0.25">
      <c r="A66" t="s">
        <v>45</v>
      </c>
      <c r="B66" s="116">
        <v>15</v>
      </c>
      <c r="C66" s="17">
        <f>TRUNC(100*Q66*(1-L7)*(1-N66))</f>
        <v>0</v>
      </c>
      <c r="D66" s="17">
        <f>TRUNC(70*Q66*(1-L7)*(1-N66))</f>
        <v>0</v>
      </c>
      <c r="E66" s="17"/>
      <c r="F66" s="17"/>
      <c r="G66" s="17"/>
      <c r="H66" s="17"/>
      <c r="I66" s="17"/>
      <c r="J66" s="17"/>
      <c r="K66" s="17"/>
      <c r="L66" s="18"/>
      <c r="M66" s="127" t="s">
        <v>173</v>
      </c>
      <c r="N66" s="124">
        <v>0</v>
      </c>
      <c r="O66" s="150">
        <f t="shared" si="11"/>
        <v>0</v>
      </c>
      <c r="P66" s="145">
        <f t="shared" si="7"/>
        <v>0</v>
      </c>
      <c r="Q66" s="146">
        <f t="shared" si="5"/>
        <v>0</v>
      </c>
    </row>
    <row r="67" spans="1:17" x14ac:dyDescent="0.25">
      <c r="A67" t="s">
        <v>46</v>
      </c>
      <c r="B67" s="116">
        <v>15</v>
      </c>
      <c r="C67" s="17">
        <f>TRUNC(120*Q67*(1-L7)*(1-N67))</f>
        <v>0</v>
      </c>
      <c r="D67" s="17">
        <f>TRUNC(50*Q67*(1-L7)*(1-N67))</f>
        <v>0</v>
      </c>
      <c r="E67" s="17"/>
      <c r="F67" s="17"/>
      <c r="G67" s="17"/>
      <c r="H67" s="17"/>
      <c r="I67" s="17"/>
      <c r="J67" s="17"/>
      <c r="K67" s="17"/>
      <c r="L67" s="18"/>
      <c r="M67" s="127" t="s">
        <v>173</v>
      </c>
      <c r="N67" s="124">
        <v>0</v>
      </c>
      <c r="O67" s="150">
        <f t="shared" si="11"/>
        <v>0</v>
      </c>
      <c r="P67" s="145">
        <f t="shared" si="7"/>
        <v>0</v>
      </c>
      <c r="Q67" s="146">
        <f t="shared" si="5"/>
        <v>0</v>
      </c>
    </row>
    <row r="68" spans="1:17" x14ac:dyDescent="0.25">
      <c r="A68" t="s">
        <v>47</v>
      </c>
      <c r="B68" s="116">
        <v>15</v>
      </c>
      <c r="C68" s="17"/>
      <c r="D68" s="17"/>
      <c r="E68" s="17"/>
      <c r="F68" s="17"/>
      <c r="G68" s="17">
        <f>TRUNC(100*Q68*(1-L7)*(1-N68))</f>
        <v>0</v>
      </c>
      <c r="H68" s="17"/>
      <c r="I68" s="17"/>
      <c r="J68" s="17"/>
      <c r="K68" s="17"/>
      <c r="L68" s="18">
        <f>TRUNC(70*Q68*(1-L7)*(1-N68))</f>
        <v>0</v>
      </c>
      <c r="M68" s="127" t="s">
        <v>173</v>
      </c>
      <c r="N68" s="124">
        <v>0</v>
      </c>
      <c r="O68" s="150">
        <f t="shared" si="11"/>
        <v>0</v>
      </c>
      <c r="P68" s="145">
        <f t="shared" si="7"/>
        <v>0</v>
      </c>
      <c r="Q68" s="146">
        <f t="shared" si="5"/>
        <v>0</v>
      </c>
    </row>
    <row r="69" spans="1:17" x14ac:dyDescent="0.25">
      <c r="A69" t="s">
        <v>48</v>
      </c>
      <c r="B69" s="116">
        <v>15</v>
      </c>
      <c r="C69" s="17"/>
      <c r="D69" s="17">
        <f>TRUNC(90*Q69*(1-L7)*(1-N69))</f>
        <v>0</v>
      </c>
      <c r="E69" s="17"/>
      <c r="F69" s="17"/>
      <c r="G69" s="17"/>
      <c r="H69" s="17">
        <f>TRUNC(80*Q69*(1-L7)*(1-N69))</f>
        <v>0</v>
      </c>
      <c r="I69" s="17"/>
      <c r="J69" s="17"/>
      <c r="K69" s="17"/>
      <c r="L69" s="18"/>
      <c r="M69" s="127" t="s">
        <v>173</v>
      </c>
      <c r="N69" s="124">
        <v>0</v>
      </c>
      <c r="O69" s="150">
        <f t="shared" si="11"/>
        <v>0</v>
      </c>
      <c r="P69" s="145">
        <f t="shared" si="7"/>
        <v>0</v>
      </c>
      <c r="Q69" s="146">
        <f t="shared" si="5"/>
        <v>0</v>
      </c>
    </row>
    <row r="70" spans="1:17" ht="15.75" thickBot="1" x14ac:dyDescent="0.3">
      <c r="A70" t="s">
        <v>104</v>
      </c>
      <c r="B70" s="116">
        <v>15</v>
      </c>
      <c r="C70" s="17"/>
      <c r="D70" s="17"/>
      <c r="E70" s="17"/>
      <c r="F70" s="17"/>
      <c r="G70" s="17">
        <f>TRUNC(70*Q70*(1-L7)*(1-N70))</f>
        <v>0</v>
      </c>
      <c r="H70" s="17">
        <f>TRUNC(100*Q70*(1-L7)*(1-N70))</f>
        <v>0</v>
      </c>
      <c r="I70" s="17"/>
      <c r="J70" s="17"/>
      <c r="K70" s="17"/>
      <c r="L70" s="18"/>
      <c r="M70" s="127" t="s">
        <v>173</v>
      </c>
      <c r="N70" s="124">
        <v>0</v>
      </c>
      <c r="O70" s="150">
        <f t="shared" si="11"/>
        <v>0</v>
      </c>
      <c r="P70" s="145">
        <f t="shared" si="7"/>
        <v>0</v>
      </c>
      <c r="Q70" s="146">
        <f t="shared" si="5"/>
        <v>0</v>
      </c>
    </row>
    <row r="71" spans="1:17" ht="15.75" thickBot="1" x14ac:dyDescent="0.3">
      <c r="A71" s="3" t="s">
        <v>49</v>
      </c>
      <c r="B71" s="117" t="s">
        <v>166</v>
      </c>
      <c r="C71" s="91" t="s">
        <v>8</v>
      </c>
      <c r="D71" s="92" t="s">
        <v>9</v>
      </c>
      <c r="E71" s="92" t="s">
        <v>10</v>
      </c>
      <c r="F71" s="92" t="s">
        <v>137</v>
      </c>
      <c r="G71" s="92" t="s">
        <v>11</v>
      </c>
      <c r="H71" s="92" t="s">
        <v>138</v>
      </c>
      <c r="I71" s="92" t="s">
        <v>139</v>
      </c>
      <c r="J71" s="92" t="s">
        <v>12</v>
      </c>
      <c r="K71" s="92" t="s">
        <v>13</v>
      </c>
      <c r="L71" s="93" t="s">
        <v>105</v>
      </c>
      <c r="M71" s="93"/>
      <c r="N71" s="93"/>
      <c r="O71" s="151"/>
      <c r="P71" s="147"/>
      <c r="Q71" s="148"/>
    </row>
    <row r="72" spans="1:17" x14ac:dyDescent="0.25">
      <c r="A72" t="s">
        <v>50</v>
      </c>
      <c r="B72" s="115">
        <v>15</v>
      </c>
      <c r="C72" s="15"/>
      <c r="D72" s="15"/>
      <c r="E72" s="15"/>
      <c r="F72" s="15">
        <f>TRUNC(110*Q72*(1-L7)*(1-N72))</f>
        <v>0</v>
      </c>
      <c r="G72" s="15"/>
      <c r="H72" s="15"/>
      <c r="I72" s="15">
        <f>TRUNC(100*Q72*(1-L7)*(1-N72))</f>
        <v>0</v>
      </c>
      <c r="J72" s="15"/>
      <c r="K72" s="15"/>
      <c r="L72" s="16"/>
      <c r="M72" s="127" t="s">
        <v>173</v>
      </c>
      <c r="N72" s="124">
        <v>0</v>
      </c>
      <c r="O72" s="149">
        <f>IF(E$6="Lenclume",60000*Q72*(1-L$7)*(1-N72),30000*Q72*(1-L$7)*(1-N72))</f>
        <v>0</v>
      </c>
      <c r="P72" s="145">
        <f t="shared" si="7"/>
        <v>0</v>
      </c>
      <c r="Q72" s="146">
        <f t="shared" si="5"/>
        <v>0</v>
      </c>
    </row>
    <row r="73" spans="1:17" x14ac:dyDescent="0.25">
      <c r="A73" t="s">
        <v>51</v>
      </c>
      <c r="B73" s="116">
        <v>15</v>
      </c>
      <c r="C73" s="17"/>
      <c r="D73" s="17"/>
      <c r="E73" s="17"/>
      <c r="F73" s="17"/>
      <c r="G73" s="17">
        <f>TRUNC(60*Q73*(1-L7)*(1-N73))</f>
        <v>0</v>
      </c>
      <c r="H73" s="17"/>
      <c r="I73" s="17"/>
      <c r="J73" s="17">
        <f>TRUNC(110*Q73*(1-L7)*(1-N73))</f>
        <v>0</v>
      </c>
      <c r="K73" s="17"/>
      <c r="L73" s="18"/>
      <c r="M73" s="127" t="s">
        <v>173</v>
      </c>
      <c r="N73" s="124">
        <v>0</v>
      </c>
      <c r="O73" s="150">
        <f t="shared" ref="O73:O79" si="12">30000*Q73*(1-L$7)*(1-N73)</f>
        <v>0</v>
      </c>
      <c r="P73" s="145">
        <f t="shared" si="7"/>
        <v>0</v>
      </c>
      <c r="Q73" s="146">
        <f t="shared" si="5"/>
        <v>0</v>
      </c>
    </row>
    <row r="74" spans="1:17" x14ac:dyDescent="0.25">
      <c r="A74" t="s">
        <v>52</v>
      </c>
      <c r="B74" s="116">
        <v>15</v>
      </c>
      <c r="C74" s="17"/>
      <c r="D74" s="17"/>
      <c r="E74" s="17"/>
      <c r="F74" s="17">
        <f>TRUNC(120*Q74*(1-L7)*(1-N74))</f>
        <v>0</v>
      </c>
      <c r="G74" s="17"/>
      <c r="H74" s="17"/>
      <c r="I74" s="17"/>
      <c r="J74" s="17">
        <f>TRUNC(50*Q74*(1-L7)*(1-N74))</f>
        <v>0</v>
      </c>
      <c r="K74" s="17"/>
      <c r="L74" s="18"/>
      <c r="M74" s="127" t="s">
        <v>173</v>
      </c>
      <c r="N74" s="124">
        <v>0</v>
      </c>
      <c r="O74" s="150">
        <f t="shared" si="12"/>
        <v>0</v>
      </c>
      <c r="P74" s="145">
        <f t="shared" si="7"/>
        <v>0</v>
      </c>
      <c r="Q74" s="146">
        <f t="shared" si="5"/>
        <v>0</v>
      </c>
    </row>
    <row r="75" spans="1:17" x14ac:dyDescent="0.25">
      <c r="A75" t="s">
        <v>53</v>
      </c>
      <c r="B75" s="116">
        <v>15</v>
      </c>
      <c r="C75" s="17"/>
      <c r="D75" s="17"/>
      <c r="E75" s="17"/>
      <c r="F75" s="17">
        <f>TRUNC(170*Q75*(1-L7)*(1-N75))</f>
        <v>0</v>
      </c>
      <c r="G75" s="17"/>
      <c r="H75" s="17"/>
      <c r="I75" s="17"/>
      <c r="J75" s="17"/>
      <c r="K75" s="17"/>
      <c r="L75" s="18"/>
      <c r="M75" s="127" t="s">
        <v>173</v>
      </c>
      <c r="N75" s="124">
        <v>0</v>
      </c>
      <c r="O75" s="150">
        <f t="shared" si="12"/>
        <v>0</v>
      </c>
      <c r="P75" s="145">
        <f t="shared" si="7"/>
        <v>0</v>
      </c>
      <c r="Q75" s="146">
        <f t="shared" si="5"/>
        <v>0</v>
      </c>
    </row>
    <row r="76" spans="1:17" x14ac:dyDescent="0.25">
      <c r="A76" t="s">
        <v>54</v>
      </c>
      <c r="B76" s="116">
        <v>15</v>
      </c>
      <c r="C76" s="17"/>
      <c r="D76" s="17"/>
      <c r="E76" s="17"/>
      <c r="F76" s="17"/>
      <c r="G76" s="17"/>
      <c r="H76" s="17"/>
      <c r="I76" s="17"/>
      <c r="J76" s="17">
        <f>TRUNC(170*Q76*(1-L7)*(1-N76))</f>
        <v>0</v>
      </c>
      <c r="K76" s="17"/>
      <c r="L76" s="18"/>
      <c r="M76" s="127" t="s">
        <v>173</v>
      </c>
      <c r="N76" s="124">
        <v>0</v>
      </c>
      <c r="O76" s="150">
        <f t="shared" si="12"/>
        <v>0</v>
      </c>
      <c r="P76" s="145">
        <f t="shared" si="7"/>
        <v>0</v>
      </c>
      <c r="Q76" s="146">
        <f t="shared" si="5"/>
        <v>0</v>
      </c>
    </row>
    <row r="77" spans="1:17" x14ac:dyDescent="0.25">
      <c r="A77" t="s">
        <v>55</v>
      </c>
      <c r="B77" s="116">
        <v>15</v>
      </c>
      <c r="C77" s="17"/>
      <c r="D77" s="17"/>
      <c r="E77" s="17">
        <f>TRUNC(120*Q77*(1-L7)*(1-N77))</f>
        <v>0</v>
      </c>
      <c r="F77" s="17"/>
      <c r="G77" s="17"/>
      <c r="H77" s="17"/>
      <c r="I77" s="17"/>
      <c r="J77" s="17"/>
      <c r="K77" s="17">
        <f>TRUNC(50*Q77*(1-L7)*(1-N77))</f>
        <v>0</v>
      </c>
      <c r="L77" s="18"/>
      <c r="M77" s="127" t="s">
        <v>173</v>
      </c>
      <c r="N77" s="124">
        <v>0</v>
      </c>
      <c r="O77" s="150">
        <f t="shared" si="12"/>
        <v>0</v>
      </c>
      <c r="P77" s="145">
        <f t="shared" si="7"/>
        <v>0</v>
      </c>
      <c r="Q77" s="146">
        <f t="shared" si="5"/>
        <v>0</v>
      </c>
    </row>
    <row r="78" spans="1:17" x14ac:dyDescent="0.25">
      <c r="A78" t="s">
        <v>56</v>
      </c>
      <c r="B78" s="116">
        <v>15</v>
      </c>
      <c r="C78" s="17"/>
      <c r="D78" s="17"/>
      <c r="E78" s="17">
        <f>TRUNC(120*Q78*(1-L7)*(1-N78))</f>
        <v>0</v>
      </c>
      <c r="F78" s="17"/>
      <c r="G78" s="17"/>
      <c r="H78" s="17"/>
      <c r="I78" s="17">
        <f>TRUNC(50*Q78*(1-L7)*(1-N78))</f>
        <v>0</v>
      </c>
      <c r="J78" s="17"/>
      <c r="K78" s="17"/>
      <c r="L78" s="18"/>
      <c r="M78" s="127" t="s">
        <v>173</v>
      </c>
      <c r="N78" s="124">
        <v>0</v>
      </c>
      <c r="O78" s="150">
        <f t="shared" si="12"/>
        <v>0</v>
      </c>
      <c r="P78" s="145">
        <f t="shared" si="7"/>
        <v>0</v>
      </c>
      <c r="Q78" s="146">
        <f t="shared" si="5"/>
        <v>0</v>
      </c>
    </row>
    <row r="79" spans="1:17" ht="15.75" thickBot="1" x14ac:dyDescent="0.3">
      <c r="A79" t="s">
        <v>57</v>
      </c>
      <c r="B79" s="116">
        <v>15</v>
      </c>
      <c r="C79" s="17"/>
      <c r="D79" s="17"/>
      <c r="E79" s="17"/>
      <c r="F79" s="17">
        <f>TRUNC(30*Q79*(1-L7)*(1-N79))</f>
        <v>0</v>
      </c>
      <c r="G79" s="17">
        <f>TRUNC(40*Q79*(1-L7)*(1-N79))</f>
        <v>0</v>
      </c>
      <c r="H79" s="17"/>
      <c r="I79" s="17"/>
      <c r="J79" s="17"/>
      <c r="K79" s="17">
        <f>TRUNC(100*Q79*(1-L7)*(1-N79))</f>
        <v>0</v>
      </c>
      <c r="L79" s="18"/>
      <c r="M79" s="127" t="s">
        <v>173</v>
      </c>
      <c r="N79" s="124">
        <v>0</v>
      </c>
      <c r="O79" s="150">
        <f t="shared" si="12"/>
        <v>0</v>
      </c>
      <c r="P79" s="145">
        <f t="shared" si="7"/>
        <v>0</v>
      </c>
      <c r="Q79" s="146">
        <f t="shared" si="5"/>
        <v>0</v>
      </c>
    </row>
    <row r="80" spans="1:17" ht="15.75" thickBot="1" x14ac:dyDescent="0.3">
      <c r="A80" s="3" t="s">
        <v>59</v>
      </c>
      <c r="B80" s="117" t="s">
        <v>166</v>
      </c>
      <c r="C80" s="91" t="s">
        <v>8</v>
      </c>
      <c r="D80" s="92" t="s">
        <v>9</v>
      </c>
      <c r="E80" s="92" t="s">
        <v>10</v>
      </c>
      <c r="F80" s="92" t="s">
        <v>137</v>
      </c>
      <c r="G80" s="92" t="s">
        <v>11</v>
      </c>
      <c r="H80" s="92" t="s">
        <v>138</v>
      </c>
      <c r="I80" s="92" t="s">
        <v>139</v>
      </c>
      <c r="J80" s="92" t="s">
        <v>12</v>
      </c>
      <c r="K80" s="92" t="s">
        <v>13</v>
      </c>
      <c r="L80" s="93" t="s">
        <v>105</v>
      </c>
      <c r="M80" s="93"/>
      <c r="N80" s="93"/>
      <c r="O80" s="151"/>
      <c r="P80" s="147"/>
      <c r="Q80" s="148"/>
    </row>
    <row r="81" spans="1:17" x14ac:dyDescent="0.25">
      <c r="A81" t="s">
        <v>60</v>
      </c>
      <c r="B81" s="115">
        <v>15</v>
      </c>
      <c r="C81" s="15"/>
      <c r="D81" s="15"/>
      <c r="E81" s="15"/>
      <c r="F81" s="15">
        <f>TRUNC(40*Q81*(1-L7)*(1-N81))</f>
        <v>0</v>
      </c>
      <c r="G81" s="15"/>
      <c r="H81" s="15">
        <f>TRUNC(120*Q81*(1-L7)*(1-N81))</f>
        <v>0</v>
      </c>
      <c r="I81" s="15">
        <f>TRUNC(TRUNC(20*Q81*(1-L7)*(1-N81)))</f>
        <v>0</v>
      </c>
      <c r="J81" s="15"/>
      <c r="K81" s="15"/>
      <c r="L81" s="16">
        <f>TRUNC(20*Q81*(1-L7)*(1-N81))</f>
        <v>0</v>
      </c>
      <c r="M81" s="127" t="s">
        <v>173</v>
      </c>
      <c r="N81" s="124">
        <v>0</v>
      </c>
      <c r="O81" s="149">
        <f>IF(E$6="Marais Noir",60000*Q81*(1-L$7)*(1-N81),30000*Q81*(1-L$7)*(1-N81))</f>
        <v>0</v>
      </c>
      <c r="P81" s="145">
        <f t="shared" si="7"/>
        <v>0</v>
      </c>
      <c r="Q81" s="146">
        <f t="shared" si="5"/>
        <v>0</v>
      </c>
    </row>
    <row r="82" spans="1:17" x14ac:dyDescent="0.25">
      <c r="A82" t="s">
        <v>61</v>
      </c>
      <c r="B82" s="116">
        <v>15</v>
      </c>
      <c r="C82" s="17">
        <f>TRUNC(30*Q82*(1-L7)*(1-N82))</f>
        <v>0</v>
      </c>
      <c r="D82" s="17"/>
      <c r="E82" s="17"/>
      <c r="F82" s="17"/>
      <c r="G82" s="17"/>
      <c r="H82" s="17"/>
      <c r="I82" s="17"/>
      <c r="J82" s="17">
        <f>TRUNC(140*Q82*(1-L7)*(1-N82))</f>
        <v>0</v>
      </c>
      <c r="K82" s="17"/>
      <c r="L82" s="18"/>
      <c r="M82" s="127" t="s">
        <v>173</v>
      </c>
      <c r="N82" s="124">
        <v>0</v>
      </c>
      <c r="O82" s="150">
        <f t="shared" ref="O82:O88" si="13">30000*Q82*(1-L$7)*(1-N82)</f>
        <v>0</v>
      </c>
      <c r="P82" s="145">
        <f t="shared" si="7"/>
        <v>0</v>
      </c>
      <c r="Q82" s="146">
        <f t="shared" si="5"/>
        <v>0</v>
      </c>
    </row>
    <row r="83" spans="1:17" x14ac:dyDescent="0.25">
      <c r="A83" t="s">
        <v>62</v>
      </c>
      <c r="B83" s="116">
        <v>15</v>
      </c>
      <c r="C83" s="17"/>
      <c r="D83" s="17"/>
      <c r="E83" s="17"/>
      <c r="F83" s="17">
        <f>TRUNC(170*Q83*(1-L7)*(1-N83))</f>
        <v>0</v>
      </c>
      <c r="G83" s="17"/>
      <c r="H83" s="17"/>
      <c r="I83" s="17"/>
      <c r="J83" s="17"/>
      <c r="K83" s="17"/>
      <c r="L83" s="18"/>
      <c r="M83" s="127" t="s">
        <v>173</v>
      </c>
      <c r="N83" s="124">
        <v>0</v>
      </c>
      <c r="O83" s="150">
        <f t="shared" si="13"/>
        <v>0</v>
      </c>
      <c r="P83" s="145">
        <f t="shared" si="7"/>
        <v>0</v>
      </c>
      <c r="Q83" s="146">
        <f t="shared" si="5"/>
        <v>0</v>
      </c>
    </row>
    <row r="84" spans="1:17" x14ac:dyDescent="0.25">
      <c r="A84" t="s">
        <v>63</v>
      </c>
      <c r="B84" s="116">
        <v>15</v>
      </c>
      <c r="C84" s="17"/>
      <c r="D84" s="17">
        <f>TRUNC(50*Q84*(1-L7)*(1-N84))</f>
        <v>0</v>
      </c>
      <c r="E84" s="17"/>
      <c r="F84" s="17">
        <f>TRUNC(100*Q84*(1-L7)*(1-N84))</f>
        <v>0</v>
      </c>
      <c r="G84" s="17"/>
      <c r="H84" s="17">
        <f>TRUNC(20*Q84*(1-L7)*(1-N84))</f>
        <v>0</v>
      </c>
      <c r="I84" s="17"/>
      <c r="J84" s="17"/>
      <c r="K84" s="17"/>
      <c r="L84" s="18"/>
      <c r="M84" s="127" t="s">
        <v>173</v>
      </c>
      <c r="N84" s="124">
        <v>0</v>
      </c>
      <c r="O84" s="150">
        <f t="shared" si="13"/>
        <v>0</v>
      </c>
      <c r="P84" s="145">
        <f t="shared" si="7"/>
        <v>0</v>
      </c>
      <c r="Q84" s="146">
        <f t="shared" si="5"/>
        <v>0</v>
      </c>
    </row>
    <row r="85" spans="1:17" x14ac:dyDescent="0.25">
      <c r="A85" t="s">
        <v>64</v>
      </c>
      <c r="B85" s="116">
        <v>15</v>
      </c>
      <c r="C85" s="17"/>
      <c r="D85" s="17"/>
      <c r="E85" s="17"/>
      <c r="F85" s="17">
        <f>TRUNC(40*Q85*(1-L7)*(1-N85))</f>
        <v>0</v>
      </c>
      <c r="G85" s="17"/>
      <c r="H85" s="17"/>
      <c r="I85" s="17"/>
      <c r="J85" s="17"/>
      <c r="K85" s="17"/>
      <c r="L85" s="18">
        <f>TRUNC(130*Q85*(1-L7)*(1-N85))</f>
        <v>0</v>
      </c>
      <c r="M85" s="127" t="s">
        <v>173</v>
      </c>
      <c r="N85" s="124">
        <v>0</v>
      </c>
      <c r="O85" s="150">
        <f t="shared" si="13"/>
        <v>0</v>
      </c>
      <c r="P85" s="145">
        <f t="shared" si="7"/>
        <v>0</v>
      </c>
      <c r="Q85" s="146">
        <f t="shared" si="5"/>
        <v>0</v>
      </c>
    </row>
    <row r="86" spans="1:17" x14ac:dyDescent="0.25">
      <c r="A86" t="s">
        <v>65</v>
      </c>
      <c r="B86" s="116">
        <v>15</v>
      </c>
      <c r="C86" s="17"/>
      <c r="D86" s="17"/>
      <c r="E86" s="17"/>
      <c r="F86" s="17"/>
      <c r="G86" s="17"/>
      <c r="H86" s="17">
        <f>TRUNC(170*Q86*(1-L7)*(1-N86))</f>
        <v>0</v>
      </c>
      <c r="I86" s="17"/>
      <c r="J86" s="17"/>
      <c r="K86" s="17"/>
      <c r="L86" s="18"/>
      <c r="M86" s="127" t="s">
        <v>173</v>
      </c>
      <c r="N86" s="124">
        <v>0</v>
      </c>
      <c r="O86" s="150">
        <f t="shared" si="13"/>
        <v>0</v>
      </c>
      <c r="P86" s="145">
        <f t="shared" si="7"/>
        <v>0</v>
      </c>
      <c r="Q86" s="146">
        <f t="shared" si="5"/>
        <v>0</v>
      </c>
    </row>
    <row r="87" spans="1:17" x14ac:dyDescent="0.25">
      <c r="A87" t="s">
        <v>66</v>
      </c>
      <c r="B87" s="116">
        <v>15</v>
      </c>
      <c r="C87" s="17"/>
      <c r="D87" s="17"/>
      <c r="E87" s="17"/>
      <c r="F87" s="17"/>
      <c r="G87" s="17"/>
      <c r="H87" s="17">
        <f>TRUNC(40*Q87*(1-L7)*(1-N87))</f>
        <v>0</v>
      </c>
      <c r="I87" s="17">
        <f>TRUNC(130*Q87*(1-L7)*(1-N87))</f>
        <v>0</v>
      </c>
      <c r="J87" s="17"/>
      <c r="K87" s="17"/>
      <c r="L87" s="18"/>
      <c r="M87" s="127" t="s">
        <v>173</v>
      </c>
      <c r="N87" s="124">
        <v>0</v>
      </c>
      <c r="O87" s="150">
        <f t="shared" si="13"/>
        <v>0</v>
      </c>
      <c r="P87" s="145">
        <f t="shared" si="7"/>
        <v>0</v>
      </c>
      <c r="Q87" s="146">
        <f t="shared" si="5"/>
        <v>0</v>
      </c>
    </row>
    <row r="88" spans="1:17" ht="15.75" thickBot="1" x14ac:dyDescent="0.3">
      <c r="A88" t="s">
        <v>67</v>
      </c>
      <c r="B88" s="116">
        <v>15</v>
      </c>
      <c r="C88" s="17"/>
      <c r="D88" s="17"/>
      <c r="E88" s="17"/>
      <c r="F88" s="17"/>
      <c r="G88" s="17"/>
      <c r="H88" s="17">
        <f>TRUNC(100*Q88*(1-L7)*(1-N88))</f>
        <v>0</v>
      </c>
      <c r="I88" s="17">
        <f>TRUNC(70*Q88*(1-L7)*(1-N88))</f>
        <v>0</v>
      </c>
      <c r="J88" s="17"/>
      <c r="K88" s="17"/>
      <c r="L88" s="18"/>
      <c r="M88" s="127" t="s">
        <v>173</v>
      </c>
      <c r="N88" s="124">
        <v>0</v>
      </c>
      <c r="O88" s="150">
        <f t="shared" si="13"/>
        <v>0</v>
      </c>
      <c r="P88" s="145">
        <f t="shared" si="7"/>
        <v>0</v>
      </c>
      <c r="Q88" s="146">
        <f t="shared" si="5"/>
        <v>0</v>
      </c>
    </row>
    <row r="89" spans="1:17" ht="15.75" thickBot="1" x14ac:dyDescent="0.3">
      <c r="A89" s="3" t="s">
        <v>68</v>
      </c>
      <c r="B89" s="117" t="s">
        <v>166</v>
      </c>
      <c r="C89" s="91" t="s">
        <v>8</v>
      </c>
      <c r="D89" s="92" t="s">
        <v>9</v>
      </c>
      <c r="E89" s="92" t="s">
        <v>10</v>
      </c>
      <c r="F89" s="92" t="s">
        <v>137</v>
      </c>
      <c r="G89" s="92" t="s">
        <v>11</v>
      </c>
      <c r="H89" s="92" t="s">
        <v>138</v>
      </c>
      <c r="I89" s="92" t="s">
        <v>139</v>
      </c>
      <c r="J89" s="92" t="s">
        <v>12</v>
      </c>
      <c r="K89" s="92" t="s">
        <v>13</v>
      </c>
      <c r="L89" s="93" t="s">
        <v>105</v>
      </c>
      <c r="M89" s="93"/>
      <c r="N89" s="93"/>
      <c r="O89" s="151"/>
      <c r="P89" s="147"/>
      <c r="Q89" s="148"/>
    </row>
    <row r="90" spans="1:17" x14ac:dyDescent="0.25">
      <c r="A90" t="s">
        <v>69</v>
      </c>
      <c r="B90" s="115">
        <v>15</v>
      </c>
      <c r="C90" s="15"/>
      <c r="D90" s="15"/>
      <c r="E90" s="15">
        <f>TRUNC(20*Q90*(1-L7)*(1-N90))</f>
        <v>20</v>
      </c>
      <c r="F90" s="15"/>
      <c r="G90" s="15">
        <f>TRUNC(20*Q90*(1-L7)*(1-N90))</f>
        <v>20</v>
      </c>
      <c r="H90" s="15">
        <f>TRUNC(90*Q90*(1-L7)*(1-N90))</f>
        <v>90</v>
      </c>
      <c r="I90" s="15"/>
      <c r="J90" s="15">
        <f>TRUNC(20*Q90*(1-L7)*(1-N90))</f>
        <v>20</v>
      </c>
      <c r="K90" s="15"/>
      <c r="L90" s="16">
        <f>TRUNC(60*Q90*(1-L7)*(1-N90))</f>
        <v>60</v>
      </c>
      <c r="M90" s="127" t="s">
        <v>174</v>
      </c>
      <c r="N90" s="124">
        <v>0</v>
      </c>
      <c r="O90" s="149">
        <f>IF(E$6="Morrowind",60000*Q90*(1-L$7)*(1-N90),30000*Q90*(1-L$7)*(1-N90))</f>
        <v>60000</v>
      </c>
      <c r="P90" s="145">
        <f t="shared" si="7"/>
        <v>15</v>
      </c>
      <c r="Q90" s="146">
        <f t="shared" si="5"/>
        <v>1</v>
      </c>
    </row>
    <row r="91" spans="1:17" x14ac:dyDescent="0.25">
      <c r="A91" t="s">
        <v>70</v>
      </c>
      <c r="B91" s="116">
        <v>15</v>
      </c>
      <c r="C91" s="17"/>
      <c r="D91" s="17"/>
      <c r="E91" s="17"/>
      <c r="F91" s="17"/>
      <c r="G91" s="17">
        <f>TRUNC(170*Q91*(1-L7)*(1-N91))</f>
        <v>170</v>
      </c>
      <c r="H91" s="17"/>
      <c r="I91" s="17"/>
      <c r="J91" s="17"/>
      <c r="K91" s="17"/>
      <c r="L91" s="18"/>
      <c r="M91" s="127" t="s">
        <v>174</v>
      </c>
      <c r="N91" s="124">
        <v>0</v>
      </c>
      <c r="O91" s="150">
        <f t="shared" ref="O91:O97" si="14">30000*Q91*(1-L$7)*(1-N91)</f>
        <v>30000</v>
      </c>
      <c r="P91" s="145">
        <f t="shared" si="7"/>
        <v>15</v>
      </c>
      <c r="Q91" s="146">
        <f t="shared" si="5"/>
        <v>1</v>
      </c>
    </row>
    <row r="92" spans="1:17" x14ac:dyDescent="0.25">
      <c r="A92" t="s">
        <v>71</v>
      </c>
      <c r="B92" s="116">
        <v>15</v>
      </c>
      <c r="C92" s="17">
        <f>TRUNC(70*Q92*(1-L7)*(1-N92))</f>
        <v>70</v>
      </c>
      <c r="D92" s="17"/>
      <c r="E92" s="17"/>
      <c r="F92" s="17"/>
      <c r="G92" s="17"/>
      <c r="H92" s="17"/>
      <c r="I92" s="17"/>
      <c r="J92" s="17"/>
      <c r="K92" s="17"/>
      <c r="L92" s="18">
        <f>TRUNC(100*Q92*(1-L7)*(1-N92))</f>
        <v>100</v>
      </c>
      <c r="M92" s="127" t="s">
        <v>174</v>
      </c>
      <c r="N92" s="124">
        <v>0</v>
      </c>
      <c r="O92" s="150">
        <f t="shared" si="14"/>
        <v>30000</v>
      </c>
      <c r="P92" s="145">
        <f t="shared" si="7"/>
        <v>15</v>
      </c>
      <c r="Q92" s="146">
        <f t="shared" ref="Q92:Q111" si="15">IF(M92="Possédée",1,IF(M92="Assiégée",0.5,0))</f>
        <v>1</v>
      </c>
    </row>
    <row r="93" spans="1:17" x14ac:dyDescent="0.25">
      <c r="A93" t="s">
        <v>72</v>
      </c>
      <c r="B93" s="116">
        <v>15</v>
      </c>
      <c r="C93" s="17"/>
      <c r="D93" s="17"/>
      <c r="E93" s="17">
        <f>TRUNC(60*Q93*(1-L7)*(1-N93))</f>
        <v>60</v>
      </c>
      <c r="F93" s="17"/>
      <c r="G93" s="17"/>
      <c r="H93" s="17"/>
      <c r="I93" s="17"/>
      <c r="J93" s="17"/>
      <c r="K93" s="17">
        <f>TRUNC(110*Q93*(1-L7)*(1-N93))</f>
        <v>110</v>
      </c>
      <c r="L93" s="18"/>
      <c r="M93" s="127" t="s">
        <v>174</v>
      </c>
      <c r="N93" s="124">
        <v>0</v>
      </c>
      <c r="O93" s="150">
        <f t="shared" si="14"/>
        <v>30000</v>
      </c>
      <c r="P93" s="145">
        <f t="shared" ref="P93:P118" si="16">IF(OR(M93="Possédée",M93="Assiégée"),B93,0)</f>
        <v>15</v>
      </c>
      <c r="Q93" s="146">
        <f t="shared" si="15"/>
        <v>1</v>
      </c>
    </row>
    <row r="94" spans="1:17" x14ac:dyDescent="0.25">
      <c r="A94" t="s">
        <v>73</v>
      </c>
      <c r="B94" s="116">
        <v>15</v>
      </c>
      <c r="C94" s="17"/>
      <c r="D94" s="17"/>
      <c r="E94" s="17"/>
      <c r="F94" s="17"/>
      <c r="G94" s="17">
        <f>TRUNC(100*Q94*(1-L7)*(1-N94))</f>
        <v>100</v>
      </c>
      <c r="H94" s="17">
        <f>TRUNC(50*Q94*(1-L7)*(1-N94))</f>
        <v>50</v>
      </c>
      <c r="I94" s="17"/>
      <c r="J94" s="17"/>
      <c r="K94" s="17"/>
      <c r="L94" s="18">
        <f>TRUNC(20*Q94*(1-L7)*(1-N94))</f>
        <v>20</v>
      </c>
      <c r="M94" s="127" t="s">
        <v>174</v>
      </c>
      <c r="N94" s="124">
        <v>0</v>
      </c>
      <c r="O94" s="150">
        <f t="shared" si="14"/>
        <v>30000</v>
      </c>
      <c r="P94" s="145">
        <f t="shared" si="16"/>
        <v>15</v>
      </c>
      <c r="Q94" s="146">
        <f t="shared" si="15"/>
        <v>1</v>
      </c>
    </row>
    <row r="95" spans="1:17" x14ac:dyDescent="0.25">
      <c r="A95" t="s">
        <v>74</v>
      </c>
      <c r="B95" s="116">
        <v>15</v>
      </c>
      <c r="C95" s="17"/>
      <c r="D95" s="17"/>
      <c r="E95" s="17">
        <f>TRUNC(100*Q95*(1-L7)*(1-N95))</f>
        <v>100</v>
      </c>
      <c r="F95" s="17"/>
      <c r="G95" s="17">
        <f>TRUNC(70*Q95*(1-L7)*(1-N95))</f>
        <v>70</v>
      </c>
      <c r="H95" s="17"/>
      <c r="I95" s="17"/>
      <c r="J95" s="17"/>
      <c r="K95" s="17"/>
      <c r="L95" s="18"/>
      <c r="M95" s="127" t="s">
        <v>174</v>
      </c>
      <c r="N95" s="124">
        <v>0</v>
      </c>
      <c r="O95" s="150">
        <f t="shared" si="14"/>
        <v>30000</v>
      </c>
      <c r="P95" s="145">
        <f t="shared" si="16"/>
        <v>15</v>
      </c>
      <c r="Q95" s="146">
        <f t="shared" si="15"/>
        <v>1</v>
      </c>
    </row>
    <row r="96" spans="1:17" x14ac:dyDescent="0.25">
      <c r="A96" t="s">
        <v>75</v>
      </c>
      <c r="B96" s="116">
        <v>15</v>
      </c>
      <c r="C96" s="17"/>
      <c r="D96" s="17"/>
      <c r="E96" s="17">
        <f>TRUNC(120*Q96*(1-L7)*(1-N96))</f>
        <v>120</v>
      </c>
      <c r="F96" s="17"/>
      <c r="G96" s="17"/>
      <c r="H96" s="17"/>
      <c r="I96" s="17"/>
      <c r="J96" s="17"/>
      <c r="K96" s="17">
        <f>TRUNC(50*Q96*(1-L7)*(1-N96))</f>
        <v>50</v>
      </c>
      <c r="L96" s="18"/>
      <c r="M96" s="127" t="s">
        <v>174</v>
      </c>
      <c r="N96" s="124">
        <v>0</v>
      </c>
      <c r="O96" s="150">
        <f t="shared" si="14"/>
        <v>30000</v>
      </c>
      <c r="P96" s="145">
        <f t="shared" si="16"/>
        <v>15</v>
      </c>
      <c r="Q96" s="146">
        <f t="shared" si="15"/>
        <v>1</v>
      </c>
    </row>
    <row r="97" spans="1:17" ht="15.75" thickBot="1" x14ac:dyDescent="0.3">
      <c r="A97" t="s">
        <v>76</v>
      </c>
      <c r="B97" s="116">
        <v>15</v>
      </c>
      <c r="C97" s="17"/>
      <c r="D97" s="17"/>
      <c r="E97" s="17">
        <f>TRUNC(170*Q97*(1-L7)*(1-N97))</f>
        <v>170</v>
      </c>
      <c r="F97" s="17"/>
      <c r="G97" s="17"/>
      <c r="H97" s="17"/>
      <c r="I97" s="17"/>
      <c r="J97" s="17"/>
      <c r="K97" s="17"/>
      <c r="L97" s="18"/>
      <c r="M97" s="127" t="s">
        <v>174</v>
      </c>
      <c r="N97" s="124">
        <v>0</v>
      </c>
      <c r="O97" s="150">
        <f t="shared" si="14"/>
        <v>30000</v>
      </c>
      <c r="P97" s="145">
        <f t="shared" si="16"/>
        <v>15</v>
      </c>
      <c r="Q97" s="146">
        <f t="shared" si="15"/>
        <v>1</v>
      </c>
    </row>
    <row r="98" spans="1:17" ht="15.75" thickBot="1" x14ac:dyDescent="0.3">
      <c r="A98" s="3" t="s">
        <v>77</v>
      </c>
      <c r="B98" s="117" t="s">
        <v>166</v>
      </c>
      <c r="C98" s="91" t="s">
        <v>8</v>
      </c>
      <c r="D98" s="92" t="s">
        <v>9</v>
      </c>
      <c r="E98" s="92" t="s">
        <v>10</v>
      </c>
      <c r="F98" s="92" t="s">
        <v>137</v>
      </c>
      <c r="G98" s="92" t="s">
        <v>11</v>
      </c>
      <c r="H98" s="92" t="s">
        <v>138</v>
      </c>
      <c r="I98" s="92" t="s">
        <v>139</v>
      </c>
      <c r="J98" s="92" t="s">
        <v>12</v>
      </c>
      <c r="K98" s="92" t="s">
        <v>13</v>
      </c>
      <c r="L98" s="93" t="s">
        <v>105</v>
      </c>
      <c r="M98" s="93"/>
      <c r="N98" s="93"/>
      <c r="O98" s="151"/>
      <c r="P98" s="147"/>
      <c r="Q98" s="148"/>
    </row>
    <row r="99" spans="1:17" x14ac:dyDescent="0.25">
      <c r="A99" t="s">
        <v>78</v>
      </c>
      <c r="B99" s="115">
        <v>15</v>
      </c>
      <c r="C99" s="15"/>
      <c r="D99" s="15"/>
      <c r="E99" s="15"/>
      <c r="F99" s="15"/>
      <c r="G99" s="15">
        <f>TRUNC(30*Q99*(1-L7)*(1-N99))</f>
        <v>0</v>
      </c>
      <c r="H99" s="15">
        <f>TRUNC(40*Q99*(1-L7)*(1-N99))</f>
        <v>0</v>
      </c>
      <c r="I99" s="15">
        <f>TRUNC(140*Q99*(1-L7)*(1-N99))</f>
        <v>0</v>
      </c>
      <c r="J99" s="15"/>
      <c r="K99" s="15"/>
      <c r="L99" s="16"/>
      <c r="M99" s="127" t="s">
        <v>173</v>
      </c>
      <c r="N99" s="124">
        <v>0</v>
      </c>
      <c r="O99" s="149">
        <f>IF(E$6="Val-Boisé",60000*Q99*(1-L$7)*(1-N99),30000*Q99*(1-L$7)*(1-N99))</f>
        <v>0</v>
      </c>
      <c r="P99" s="145">
        <f t="shared" si="16"/>
        <v>0</v>
      </c>
      <c r="Q99" s="146">
        <f t="shared" si="15"/>
        <v>0</v>
      </c>
    </row>
    <row r="100" spans="1:17" x14ac:dyDescent="0.25">
      <c r="A100" t="s">
        <v>79</v>
      </c>
      <c r="B100" s="116">
        <v>15</v>
      </c>
      <c r="C100" s="17"/>
      <c r="D100" s="17"/>
      <c r="E100" s="17"/>
      <c r="F100" s="17"/>
      <c r="G100" s="17"/>
      <c r="H100" s="17"/>
      <c r="I100" s="17">
        <f>TRUNC(50*Q100*(1-L7)*(1-N100))</f>
        <v>0</v>
      </c>
      <c r="J100" s="17">
        <f>TRUNC(120*Q100*(1-L7)*(1-N100))</f>
        <v>0</v>
      </c>
      <c r="K100" s="17"/>
      <c r="L100" s="18"/>
      <c r="M100" s="127" t="s">
        <v>173</v>
      </c>
      <c r="N100" s="124">
        <v>0</v>
      </c>
      <c r="O100" s="150">
        <f t="shared" ref="O100:O106" si="17">30000*Q100*(1-L$7)*(1-N100)</f>
        <v>0</v>
      </c>
      <c r="P100" s="145">
        <f t="shared" si="16"/>
        <v>0</v>
      </c>
      <c r="Q100" s="146">
        <f t="shared" si="15"/>
        <v>0</v>
      </c>
    </row>
    <row r="101" spans="1:17" x14ac:dyDescent="0.25">
      <c r="A101" t="s">
        <v>80</v>
      </c>
      <c r="B101" s="116">
        <v>15</v>
      </c>
      <c r="C101" s="17"/>
      <c r="D101" s="17"/>
      <c r="E101" s="17"/>
      <c r="F101" s="17">
        <f>TRUNC(70*Q101*(1-L7)*(1-N101))</f>
        <v>0</v>
      </c>
      <c r="G101" s="17">
        <f>TRUNC(40*Q101*(1-L7)*(1-N101))</f>
        <v>0</v>
      </c>
      <c r="H101" s="17"/>
      <c r="I101" s="17"/>
      <c r="J101" s="17"/>
      <c r="K101" s="17">
        <f>TRUNC(20*Q101*(1-L7)*(1-N101))</f>
        <v>0</v>
      </c>
      <c r="L101" s="18">
        <f>TRUNC(40*Q101*(1-L7)*(1-N101))</f>
        <v>0</v>
      </c>
      <c r="M101" s="127" t="s">
        <v>173</v>
      </c>
      <c r="N101" s="124">
        <v>0</v>
      </c>
      <c r="O101" s="150">
        <f t="shared" si="17"/>
        <v>0</v>
      </c>
      <c r="P101" s="145">
        <f t="shared" si="16"/>
        <v>0</v>
      </c>
      <c r="Q101" s="146">
        <f t="shared" si="15"/>
        <v>0</v>
      </c>
    </row>
    <row r="102" spans="1:17" x14ac:dyDescent="0.25">
      <c r="A102" t="s">
        <v>81</v>
      </c>
      <c r="B102" s="116">
        <v>15</v>
      </c>
      <c r="C102" s="17"/>
      <c r="D102" s="17"/>
      <c r="E102" s="17"/>
      <c r="F102" s="17"/>
      <c r="G102" s="17"/>
      <c r="H102" s="17"/>
      <c r="I102" s="17">
        <f>TRUNC(170*Q102*(1-L7)*(1-N102))</f>
        <v>0</v>
      </c>
      <c r="J102" s="17"/>
      <c r="K102" s="17"/>
      <c r="L102" s="18"/>
      <c r="M102" s="127" t="s">
        <v>173</v>
      </c>
      <c r="N102" s="124">
        <v>0</v>
      </c>
      <c r="O102" s="150">
        <f t="shared" si="17"/>
        <v>0</v>
      </c>
      <c r="P102" s="145">
        <f t="shared" si="16"/>
        <v>0</v>
      </c>
      <c r="Q102" s="146">
        <f t="shared" si="15"/>
        <v>0</v>
      </c>
    </row>
    <row r="103" spans="1:17" x14ac:dyDescent="0.25">
      <c r="A103" t="s">
        <v>82</v>
      </c>
      <c r="B103" s="116">
        <v>15</v>
      </c>
      <c r="C103" s="17">
        <f>TRUNC(100*Q103*(1-L7)*(1-N103))</f>
        <v>0</v>
      </c>
      <c r="D103" s="17"/>
      <c r="E103" s="17"/>
      <c r="F103" s="17"/>
      <c r="G103" s="17"/>
      <c r="H103" s="17"/>
      <c r="I103" s="17"/>
      <c r="J103" s="17">
        <f>TRUNC(70*Q103*(1-L7)*(1-N103))</f>
        <v>0</v>
      </c>
      <c r="K103" s="17"/>
      <c r="L103" s="18"/>
      <c r="M103" s="127" t="s">
        <v>173</v>
      </c>
      <c r="N103" s="124">
        <v>0</v>
      </c>
      <c r="O103" s="150">
        <f t="shared" si="17"/>
        <v>0</v>
      </c>
      <c r="P103" s="145">
        <f t="shared" si="16"/>
        <v>0</v>
      </c>
      <c r="Q103" s="146">
        <f t="shared" si="15"/>
        <v>0</v>
      </c>
    </row>
    <row r="104" spans="1:17" x14ac:dyDescent="0.25">
      <c r="A104" t="s">
        <v>83</v>
      </c>
      <c r="B104" s="116">
        <v>15</v>
      </c>
      <c r="C104" s="17">
        <f>TRUNC(170*Q104*(1-L7)*(1-N104))</f>
        <v>0</v>
      </c>
      <c r="D104" s="17"/>
      <c r="E104" s="17"/>
      <c r="F104" s="17"/>
      <c r="G104" s="17"/>
      <c r="H104" s="17"/>
      <c r="I104" s="17"/>
      <c r="J104" s="17"/>
      <c r="K104" s="17"/>
      <c r="L104" s="18"/>
      <c r="M104" s="127" t="s">
        <v>173</v>
      </c>
      <c r="N104" s="124">
        <v>0</v>
      </c>
      <c r="O104" s="150">
        <f t="shared" si="17"/>
        <v>0</v>
      </c>
      <c r="P104" s="145">
        <f t="shared" si="16"/>
        <v>0</v>
      </c>
      <c r="Q104" s="146">
        <f t="shared" si="15"/>
        <v>0</v>
      </c>
    </row>
    <row r="105" spans="1:17" x14ac:dyDescent="0.25">
      <c r="A105" t="s">
        <v>84</v>
      </c>
      <c r="B105" s="116">
        <v>15</v>
      </c>
      <c r="C105" s="17"/>
      <c r="D105" s="17"/>
      <c r="E105" s="17"/>
      <c r="F105" s="17"/>
      <c r="G105" s="17"/>
      <c r="H105" s="17">
        <f>TRUNC(170*Q105*(1-L7)*(1-N105))</f>
        <v>0</v>
      </c>
      <c r="I105" s="17"/>
      <c r="J105" s="17"/>
      <c r="K105" s="17"/>
      <c r="L105" s="18"/>
      <c r="M105" s="127" t="s">
        <v>173</v>
      </c>
      <c r="N105" s="124">
        <v>0</v>
      </c>
      <c r="O105" s="150">
        <f t="shared" si="17"/>
        <v>0</v>
      </c>
      <c r="P105" s="145">
        <f t="shared" si="16"/>
        <v>0</v>
      </c>
      <c r="Q105" s="146">
        <f t="shared" si="15"/>
        <v>0</v>
      </c>
    </row>
    <row r="106" spans="1:17" ht="15.75" thickBot="1" x14ac:dyDescent="0.3">
      <c r="A106" t="s">
        <v>85</v>
      </c>
      <c r="B106" s="116">
        <v>15</v>
      </c>
      <c r="C106" s="17">
        <f>TRUNC(60*Q106*(1-L7)*(1-N106))</f>
        <v>0</v>
      </c>
      <c r="D106" s="17"/>
      <c r="E106" s="17"/>
      <c r="F106" s="17"/>
      <c r="G106" s="17"/>
      <c r="H106" s="17"/>
      <c r="I106" s="17">
        <f>TRUNC(110*Q106*(1-L7)*(1-N106))</f>
        <v>0</v>
      </c>
      <c r="J106" s="17"/>
      <c r="K106" s="17"/>
      <c r="L106" s="18"/>
      <c r="M106" s="127" t="s">
        <v>173</v>
      </c>
      <c r="N106" s="124">
        <v>0</v>
      </c>
      <c r="O106" s="150">
        <f t="shared" si="17"/>
        <v>0</v>
      </c>
      <c r="P106" s="145">
        <f t="shared" si="16"/>
        <v>0</v>
      </c>
      <c r="Q106" s="146">
        <f t="shared" si="15"/>
        <v>0</v>
      </c>
    </row>
    <row r="107" spans="1:17" ht="15.75" thickBot="1" x14ac:dyDescent="0.3">
      <c r="A107" s="3" t="s">
        <v>86</v>
      </c>
      <c r="B107" s="117" t="s">
        <v>166</v>
      </c>
      <c r="C107" s="91" t="s">
        <v>8</v>
      </c>
      <c r="D107" s="92" t="s">
        <v>9</v>
      </c>
      <c r="E107" s="92" t="s">
        <v>10</v>
      </c>
      <c r="F107" s="92" t="s">
        <v>137</v>
      </c>
      <c r="G107" s="92" t="s">
        <v>11</v>
      </c>
      <c r="H107" s="92" t="s">
        <v>138</v>
      </c>
      <c r="I107" s="92" t="s">
        <v>139</v>
      </c>
      <c r="J107" s="92" t="s">
        <v>12</v>
      </c>
      <c r="K107" s="92" t="s">
        <v>13</v>
      </c>
      <c r="L107" s="93" t="s">
        <v>105</v>
      </c>
      <c r="M107" s="93"/>
      <c r="N107" s="93"/>
      <c r="O107" s="151"/>
      <c r="P107" s="147"/>
      <c r="Q107" s="148"/>
    </row>
    <row r="108" spans="1:17" x14ac:dyDescent="0.25">
      <c r="A108" t="s">
        <v>89</v>
      </c>
      <c r="B108" s="115">
        <v>15</v>
      </c>
      <c r="C108" s="15"/>
      <c r="D108" s="15"/>
      <c r="E108" s="15">
        <f>TRUNC(90*Q108*(1-L7)*(1-N108))</f>
        <v>0</v>
      </c>
      <c r="F108" s="15"/>
      <c r="G108" s="15"/>
      <c r="H108" s="15"/>
      <c r="I108" s="15"/>
      <c r="J108" s="15"/>
      <c r="K108" s="15">
        <f>TRUNC(120*Q108*(1-L7)*(1-N108))</f>
        <v>0</v>
      </c>
      <c r="L108" s="16"/>
      <c r="M108" s="127" t="s">
        <v>173</v>
      </c>
      <c r="N108" s="124">
        <v>0</v>
      </c>
      <c r="O108" s="149">
        <f>IF(E$6="Solstheim",60000*Q108*(1-L$7)*(1-N108),30000*Q108*(1-L$7)*(1-N108))</f>
        <v>0</v>
      </c>
      <c r="P108" s="145">
        <f t="shared" si="16"/>
        <v>0</v>
      </c>
      <c r="Q108" s="146">
        <f t="shared" si="15"/>
        <v>0</v>
      </c>
    </row>
    <row r="109" spans="1:17" x14ac:dyDescent="0.25">
      <c r="A109" t="s">
        <v>88</v>
      </c>
      <c r="B109" s="116">
        <v>15</v>
      </c>
      <c r="C109" s="17"/>
      <c r="D109" s="17"/>
      <c r="E109" s="17">
        <f>TRUNC(80*Q109*(1-L7)*(1-N109))</f>
        <v>0</v>
      </c>
      <c r="F109" s="17"/>
      <c r="G109" s="17">
        <f>TRUNC(20*Q109*(1-L7)*(1-N109))</f>
        <v>0</v>
      </c>
      <c r="H109" s="17"/>
      <c r="I109" s="17"/>
      <c r="J109" s="17"/>
      <c r="K109" s="17">
        <f>TRUNC(70*Q109*(1-L7)*(1-N109))</f>
        <v>0</v>
      </c>
      <c r="L109" s="18"/>
      <c r="M109" s="127" t="s">
        <v>173</v>
      </c>
      <c r="N109" s="124">
        <v>0</v>
      </c>
      <c r="O109" s="150">
        <f t="shared" ref="O109:O110" si="18">30000*Q109*(1-L$7)*(1-N109)</f>
        <v>0</v>
      </c>
      <c r="P109" s="145">
        <f t="shared" si="16"/>
        <v>0</v>
      </c>
      <c r="Q109" s="146">
        <f t="shared" si="15"/>
        <v>0</v>
      </c>
    </row>
    <row r="110" spans="1:17" ht="15.75" thickBot="1" x14ac:dyDescent="0.3">
      <c r="A110" s="39" t="s">
        <v>87</v>
      </c>
      <c r="B110" s="116">
        <v>15</v>
      </c>
      <c r="C110" s="19"/>
      <c r="D110" s="17">
        <f>TRUNC(90*Q110*(1-L7)*(1-N110))</f>
        <v>0</v>
      </c>
      <c r="E110" s="17"/>
      <c r="F110" s="17"/>
      <c r="G110" s="17">
        <f>TRUNC(30*Q110*(1-L7)*(1-N110))</f>
        <v>0</v>
      </c>
      <c r="H110" s="17"/>
      <c r="I110" s="17"/>
      <c r="J110" s="17"/>
      <c r="K110" s="17">
        <f>TRUNC(50*Q110*(1-L7)*(1-N110))</f>
        <v>0</v>
      </c>
      <c r="L110" s="18"/>
      <c r="M110" s="127" t="s">
        <v>173</v>
      </c>
      <c r="N110" s="124">
        <v>0</v>
      </c>
      <c r="O110" s="150">
        <f t="shared" si="18"/>
        <v>0</v>
      </c>
      <c r="P110" s="145">
        <f t="shared" si="16"/>
        <v>0</v>
      </c>
      <c r="Q110" s="146">
        <f t="shared" si="15"/>
        <v>0</v>
      </c>
    </row>
    <row r="111" spans="1:17" ht="15.75" thickBot="1" x14ac:dyDescent="0.3">
      <c r="A111" s="3" t="s">
        <v>140</v>
      </c>
      <c r="B111" s="119">
        <v>15</v>
      </c>
      <c r="C111" s="113"/>
      <c r="D111" s="89"/>
      <c r="E111" s="89">
        <f>TRUNC(70*Q111*(1-L7)*(1-N111))</f>
        <v>0</v>
      </c>
      <c r="F111" s="89"/>
      <c r="G111" s="89">
        <f>TRUNC(40*Q111*(1-L7)*(1-N111))</f>
        <v>0</v>
      </c>
      <c r="H111" s="89"/>
      <c r="I111" s="89"/>
      <c r="J111" s="89"/>
      <c r="K111" s="89">
        <f>TRUNC(100*Q111*(1-L7)*(1-N111))</f>
        <v>0</v>
      </c>
      <c r="L111" s="90"/>
      <c r="M111" s="127" t="s">
        <v>173</v>
      </c>
      <c r="N111" s="124">
        <v>0</v>
      </c>
      <c r="O111" s="150">
        <f>IF(E$6="Orsinium",60000*Q111*(1-L$7)*(1-N111),30000*Q111*(1-L$7)*(1-N111))</f>
        <v>0</v>
      </c>
      <c r="P111" s="145">
        <f t="shared" si="16"/>
        <v>0</v>
      </c>
      <c r="Q111" s="146">
        <f t="shared" si="15"/>
        <v>0</v>
      </c>
    </row>
    <row r="112" spans="1:17" ht="15.75" thickBot="1" x14ac:dyDescent="0.3">
      <c r="A112" s="3" t="s">
        <v>215</v>
      </c>
      <c r="B112" s="117" t="s">
        <v>166</v>
      </c>
      <c r="C112" s="91" t="s">
        <v>8</v>
      </c>
      <c r="D112" s="92" t="s">
        <v>9</v>
      </c>
      <c r="E112" s="92" t="s">
        <v>10</v>
      </c>
      <c r="F112" s="92" t="s">
        <v>137</v>
      </c>
      <c r="G112" s="92" t="s">
        <v>11</v>
      </c>
      <c r="H112" s="92" t="s">
        <v>138</v>
      </c>
      <c r="I112" s="92" t="s">
        <v>139</v>
      </c>
      <c r="J112" s="92" t="s">
        <v>12</v>
      </c>
      <c r="K112" s="92" t="s">
        <v>13</v>
      </c>
      <c r="L112" s="93" t="s">
        <v>105</v>
      </c>
      <c r="M112" s="93"/>
      <c r="N112" s="93"/>
      <c r="O112" s="151"/>
      <c r="P112" s="147"/>
      <c r="Q112" s="148"/>
    </row>
    <row r="113" spans="1:17" x14ac:dyDescent="0.25">
      <c r="A113" t="s">
        <v>142</v>
      </c>
      <c r="B113" s="115">
        <v>0</v>
      </c>
      <c r="C113" s="15"/>
      <c r="D113" s="15"/>
      <c r="E113" s="15">
        <f>TRUNC(10*Q113*(1-N113))</f>
        <v>0</v>
      </c>
      <c r="F113" s="15"/>
      <c r="G113" s="15"/>
      <c r="H113" s="15">
        <f>TRUNC(10*Q113*(1-N113))</f>
        <v>0</v>
      </c>
      <c r="I113" s="15"/>
      <c r="J113" s="15">
        <f>TRUNC(10*Q113*(1-N113))</f>
        <v>0</v>
      </c>
      <c r="K113" s="15"/>
      <c r="L113" s="16"/>
      <c r="M113" s="127" t="s">
        <v>173</v>
      </c>
      <c r="N113" s="124">
        <v>0</v>
      </c>
      <c r="O113" s="149">
        <f>IF(E$6="Strik",40000*Q113*(1-L$7)*(1-N113),0)</f>
        <v>0</v>
      </c>
      <c r="P113" s="145">
        <f t="shared" si="16"/>
        <v>0</v>
      </c>
      <c r="Q113" s="146">
        <f>IF(E$6=A113,IF(M113="Possédée",1,IF(M113="Assiégée",0.5,0)),0)</f>
        <v>0</v>
      </c>
    </row>
    <row r="114" spans="1:17" x14ac:dyDescent="0.25">
      <c r="A114" t="s">
        <v>143</v>
      </c>
      <c r="B114" s="116">
        <v>0</v>
      </c>
      <c r="C114" s="17"/>
      <c r="D114" s="17"/>
      <c r="E114" s="17">
        <f>TRUNC(10*Q114*(1-N114))</f>
        <v>0</v>
      </c>
      <c r="F114" s="17"/>
      <c r="G114" s="17"/>
      <c r="H114" s="17">
        <f>TRUNC(10*Q114*(1-N114))</f>
        <v>0</v>
      </c>
      <c r="I114" s="17"/>
      <c r="J114" s="17">
        <f>TRUNC(10*Q114*(1-N114))</f>
        <v>0</v>
      </c>
      <c r="K114" s="17"/>
      <c r="L114" s="18"/>
      <c r="M114" s="127" t="s">
        <v>173</v>
      </c>
      <c r="N114" s="124">
        <v>0</v>
      </c>
      <c r="O114" s="150">
        <f>IF(E$6="Stros M'Kai",40000*Q114*(1-L$7)*(1-N114),0)</f>
        <v>0</v>
      </c>
      <c r="P114" s="145">
        <f t="shared" si="16"/>
        <v>0</v>
      </c>
      <c r="Q114" s="146">
        <f t="shared" ref="Q114:Q118" si="19">IF(E$6=A114,IF(M114="Possédée",1,IF(M114="Assiégée",0.5,0)),0)</f>
        <v>0</v>
      </c>
    </row>
    <row r="115" spans="1:17" x14ac:dyDescent="0.25">
      <c r="A115" t="s">
        <v>144</v>
      </c>
      <c r="B115" s="116">
        <v>0</v>
      </c>
      <c r="C115" s="17"/>
      <c r="D115" s="17"/>
      <c r="E115" s="17">
        <f t="shared" ref="E115:E118" si="20">TRUNC(10*Q115*(1-N115))</f>
        <v>0</v>
      </c>
      <c r="F115" s="17"/>
      <c r="G115" s="17"/>
      <c r="H115" s="17">
        <f t="shared" ref="H115:H118" si="21">TRUNC(10*Q115*(1-N115))</f>
        <v>0</v>
      </c>
      <c r="I115" s="17"/>
      <c r="J115" s="17">
        <f t="shared" ref="J115:J118" si="22">TRUNC(10*Q115*(1-N115))</f>
        <v>0</v>
      </c>
      <c r="K115" s="17"/>
      <c r="L115" s="18"/>
      <c r="M115" s="127" t="s">
        <v>173</v>
      </c>
      <c r="N115" s="124">
        <v>0</v>
      </c>
      <c r="O115" s="150">
        <f>IF(E$6="Vivec",40000*Q115*(1-L$7)*(1-N115),0)</f>
        <v>0</v>
      </c>
      <c r="P115" s="145">
        <f t="shared" si="16"/>
        <v>0</v>
      </c>
      <c r="Q115" s="146">
        <f t="shared" si="19"/>
        <v>0</v>
      </c>
    </row>
    <row r="116" spans="1:17" x14ac:dyDescent="0.25">
      <c r="A116" t="s">
        <v>145</v>
      </c>
      <c r="B116" s="116">
        <v>0</v>
      </c>
      <c r="C116" s="17"/>
      <c r="D116" s="17"/>
      <c r="E116" s="17">
        <f t="shared" si="20"/>
        <v>0</v>
      </c>
      <c r="F116" s="17"/>
      <c r="G116" s="17"/>
      <c r="H116" s="17">
        <f t="shared" si="21"/>
        <v>0</v>
      </c>
      <c r="I116" s="17"/>
      <c r="J116" s="17">
        <f t="shared" si="22"/>
        <v>0</v>
      </c>
      <c r="K116" s="17"/>
      <c r="L116" s="18"/>
      <c r="M116" s="127" t="s">
        <v>173</v>
      </c>
      <c r="N116" s="124">
        <v>0</v>
      </c>
      <c r="O116" s="150">
        <f>IF(E$6="Sadrith Mora",40000*Q116*(1-L$7)*(1-N116),0)</f>
        <v>0</v>
      </c>
      <c r="P116" s="145">
        <f t="shared" si="16"/>
        <v>0</v>
      </c>
      <c r="Q116" s="146">
        <f t="shared" si="19"/>
        <v>0</v>
      </c>
    </row>
    <row r="117" spans="1:17" x14ac:dyDescent="0.25">
      <c r="A117" t="s">
        <v>146</v>
      </c>
      <c r="B117" s="116">
        <v>0</v>
      </c>
      <c r="C117" s="17"/>
      <c r="D117" s="17"/>
      <c r="E117" s="17">
        <f t="shared" si="20"/>
        <v>0</v>
      </c>
      <c r="F117" s="17"/>
      <c r="G117" s="17"/>
      <c r="H117" s="17">
        <f t="shared" si="21"/>
        <v>0</v>
      </c>
      <c r="I117" s="17"/>
      <c r="J117" s="17">
        <f t="shared" si="22"/>
        <v>0</v>
      </c>
      <c r="K117" s="17"/>
      <c r="L117" s="18"/>
      <c r="M117" s="127" t="s">
        <v>173</v>
      </c>
      <c r="N117" s="124">
        <v>0</v>
      </c>
      <c r="O117" s="150">
        <f>IF(E$6="Dagon Fel",40000*Q117*(1-L$7)*(1-N117),0)</f>
        <v>0</v>
      </c>
      <c r="P117" s="145">
        <f t="shared" si="16"/>
        <v>0</v>
      </c>
      <c r="Q117" s="146">
        <f t="shared" si="19"/>
        <v>0</v>
      </c>
    </row>
    <row r="118" spans="1:17" ht="15.75" thickBot="1" x14ac:dyDescent="0.3">
      <c r="A118" s="40" t="s">
        <v>147</v>
      </c>
      <c r="B118" s="118">
        <v>0</v>
      </c>
      <c r="C118" s="21"/>
      <c r="D118" s="21"/>
      <c r="E118" s="17">
        <f t="shared" si="20"/>
        <v>0</v>
      </c>
      <c r="F118" s="21"/>
      <c r="G118" s="21"/>
      <c r="H118" s="17">
        <f t="shared" si="21"/>
        <v>0</v>
      </c>
      <c r="I118" s="21"/>
      <c r="J118" s="17">
        <f t="shared" si="22"/>
        <v>0</v>
      </c>
      <c r="K118" s="21"/>
      <c r="L118" s="22"/>
      <c r="M118" s="128" t="s">
        <v>173</v>
      </c>
      <c r="N118" s="125">
        <v>0</v>
      </c>
      <c r="O118" s="150">
        <f>IF(E$6="Port Telvannis",40000*Q118*(1-L$7)*(1-N118),0)</f>
        <v>0</v>
      </c>
      <c r="P118" s="145">
        <f t="shared" si="16"/>
        <v>0</v>
      </c>
      <c r="Q118" s="146">
        <f t="shared" si="19"/>
        <v>0</v>
      </c>
    </row>
    <row r="119" spans="1:17" ht="15.75" thickBot="1" x14ac:dyDescent="0.3">
      <c r="A119" s="132" t="s">
        <v>202</v>
      </c>
      <c r="B119" s="119">
        <f>SUM(P27:P118)</f>
        <v>150</v>
      </c>
      <c r="C119" s="89">
        <f>SUM(C27:C118)</f>
        <v>70</v>
      </c>
      <c r="D119" s="89">
        <f>SUM(D27:D118)</f>
        <v>180</v>
      </c>
      <c r="E119" s="89">
        <f>SUM(E27:E118)</f>
        <v>630</v>
      </c>
      <c r="F119" s="89">
        <f t="shared" ref="F119:L119" si="23">SUM(F27:F118)</f>
        <v>0</v>
      </c>
      <c r="G119" s="89">
        <f t="shared" si="23"/>
        <v>360</v>
      </c>
      <c r="H119" s="89">
        <f t="shared" si="23"/>
        <v>140</v>
      </c>
      <c r="I119" s="89">
        <f t="shared" si="23"/>
        <v>0</v>
      </c>
      <c r="J119" s="89">
        <f t="shared" si="23"/>
        <v>20</v>
      </c>
      <c r="K119" s="89">
        <f t="shared" si="23"/>
        <v>160</v>
      </c>
      <c r="L119" s="89">
        <f t="shared" si="23"/>
        <v>180</v>
      </c>
      <c r="M119" s="133"/>
      <c r="N119" s="134"/>
      <c r="O119" s="151">
        <f>SUM(O27:O118)</f>
        <v>330000</v>
      </c>
      <c r="P119" s="147"/>
      <c r="Q119" s="148"/>
    </row>
    <row r="120" spans="1:17" x14ac:dyDescent="0.25">
      <c r="A120" s="131" t="s">
        <v>216</v>
      </c>
    </row>
    <row r="122" spans="1:17" x14ac:dyDescent="0.25">
      <c r="A122" t="s">
        <v>160</v>
      </c>
    </row>
    <row r="123" spans="1:17" x14ac:dyDescent="0.25">
      <c r="A123" t="s">
        <v>22</v>
      </c>
      <c r="D123" t="s">
        <v>199</v>
      </c>
    </row>
    <row r="124" spans="1:17" x14ac:dyDescent="0.25">
      <c r="A124" t="s">
        <v>23</v>
      </c>
      <c r="B124" s="122">
        <v>0</v>
      </c>
      <c r="C124" t="s">
        <v>178</v>
      </c>
      <c r="D124" t="s">
        <v>200</v>
      </c>
      <c r="E124">
        <f>COUNTIF(M27:M111,"Possédée")+COUNTIF(M27:M111,"Assiégée")</f>
        <v>10</v>
      </c>
    </row>
    <row r="125" spans="1:17" x14ac:dyDescent="0.25">
      <c r="A125" t="s">
        <v>24</v>
      </c>
      <c r="B125" s="122">
        <v>0.05</v>
      </c>
      <c r="C125" t="s">
        <v>179</v>
      </c>
      <c r="D125" t="s">
        <v>217</v>
      </c>
      <c r="E125">
        <f>COUNTIF(M113:M118,"Possédée")+COUNTIF(M113:M118,"Assiégée")</f>
        <v>0</v>
      </c>
    </row>
    <row r="126" spans="1:17" x14ac:dyDescent="0.25">
      <c r="A126" t="s">
        <v>33</v>
      </c>
      <c r="B126" s="122">
        <v>0.1</v>
      </c>
      <c r="C126" t="s">
        <v>180</v>
      </c>
      <c r="D126" s="97" t="s">
        <v>218</v>
      </c>
      <c r="E126">
        <f>COUNTIF(M27:M118,"Possédée")+COUNTIF(M27:M118,"Assiégée")</f>
        <v>10</v>
      </c>
    </row>
    <row r="127" spans="1:17" x14ac:dyDescent="0.25">
      <c r="A127" t="s">
        <v>41</v>
      </c>
      <c r="B127" s="122">
        <v>0.15</v>
      </c>
      <c r="C127" t="s">
        <v>181</v>
      </c>
      <c r="D127" t="s">
        <v>201</v>
      </c>
      <c r="E127">
        <f>COUNTIF(M27:M118,"Assiégée")</f>
        <v>0</v>
      </c>
    </row>
    <row r="128" spans="1:17" x14ac:dyDescent="0.25">
      <c r="A128" t="s">
        <v>49</v>
      </c>
      <c r="B128" s="122">
        <v>0.2</v>
      </c>
      <c r="C128" t="s">
        <v>182</v>
      </c>
    </row>
    <row r="129" spans="1:3" x14ac:dyDescent="0.25">
      <c r="A129" t="s">
        <v>59</v>
      </c>
      <c r="B129" s="122">
        <v>0.25</v>
      </c>
      <c r="C129" t="s">
        <v>183</v>
      </c>
    </row>
    <row r="130" spans="1:3" x14ac:dyDescent="0.25">
      <c r="A130" t="s">
        <v>68</v>
      </c>
      <c r="B130" s="122">
        <v>0.3</v>
      </c>
      <c r="C130" t="s">
        <v>184</v>
      </c>
    </row>
    <row r="131" spans="1:3" x14ac:dyDescent="0.25">
      <c r="A131" t="s">
        <v>77</v>
      </c>
      <c r="B131" s="122">
        <v>0.35</v>
      </c>
      <c r="C131" t="s">
        <v>185</v>
      </c>
    </row>
    <row r="132" spans="1:3" x14ac:dyDescent="0.25">
      <c r="A132" t="s">
        <v>86</v>
      </c>
      <c r="B132" s="122">
        <v>0.4</v>
      </c>
      <c r="C132" t="s">
        <v>186</v>
      </c>
    </row>
    <row r="133" spans="1:3" x14ac:dyDescent="0.25">
      <c r="A133" t="s">
        <v>140</v>
      </c>
      <c r="B133" s="122">
        <v>0.45</v>
      </c>
      <c r="C133" t="s">
        <v>187</v>
      </c>
    </row>
    <row r="134" spans="1:3" x14ac:dyDescent="0.25">
      <c r="A134" t="s">
        <v>142</v>
      </c>
      <c r="B134" s="122">
        <v>0.5</v>
      </c>
      <c r="C134" t="s">
        <v>188</v>
      </c>
    </row>
    <row r="135" spans="1:3" x14ac:dyDescent="0.25">
      <c r="A135" t="s">
        <v>143</v>
      </c>
      <c r="B135" s="122">
        <v>0.55000000000000004</v>
      </c>
      <c r="C135" t="s">
        <v>189</v>
      </c>
    </row>
    <row r="136" spans="1:3" x14ac:dyDescent="0.25">
      <c r="A136" t="s">
        <v>144</v>
      </c>
      <c r="B136" s="122">
        <v>0.6</v>
      </c>
      <c r="C136" t="s">
        <v>190</v>
      </c>
    </row>
    <row r="137" spans="1:3" x14ac:dyDescent="0.25">
      <c r="A137" t="s">
        <v>145</v>
      </c>
      <c r="B137" s="122">
        <v>0.65</v>
      </c>
      <c r="C137" t="s">
        <v>191</v>
      </c>
    </row>
    <row r="138" spans="1:3" x14ac:dyDescent="0.25">
      <c r="A138" t="s">
        <v>146</v>
      </c>
      <c r="B138" s="122">
        <v>0.7</v>
      </c>
      <c r="C138" t="s">
        <v>192</v>
      </c>
    </row>
    <row r="139" spans="1:3" x14ac:dyDescent="0.25">
      <c r="A139" t="s">
        <v>147</v>
      </c>
      <c r="B139" s="122">
        <v>0.75</v>
      </c>
      <c r="C139" t="s">
        <v>193</v>
      </c>
    </row>
    <row r="140" spans="1:3" x14ac:dyDescent="0.25">
      <c r="A140" t="s">
        <v>219</v>
      </c>
      <c r="B140" s="122">
        <v>0.8</v>
      </c>
      <c r="C140" t="s">
        <v>194</v>
      </c>
    </row>
    <row r="141" spans="1:3" x14ac:dyDescent="0.25">
      <c r="B141" s="122">
        <v>0.85</v>
      </c>
      <c r="C141" t="s">
        <v>195</v>
      </c>
    </row>
    <row r="142" spans="1:3" x14ac:dyDescent="0.25">
      <c r="B142" s="122">
        <v>0.9</v>
      </c>
      <c r="C142" t="s">
        <v>196</v>
      </c>
    </row>
    <row r="143" spans="1:3" x14ac:dyDescent="0.25">
      <c r="B143" s="122">
        <v>0.95</v>
      </c>
      <c r="C143" t="s">
        <v>197</v>
      </c>
    </row>
    <row r="144" spans="1:3" x14ac:dyDescent="0.25">
      <c r="B144" s="122">
        <v>1</v>
      </c>
      <c r="C144" t="s">
        <v>198</v>
      </c>
    </row>
    <row r="145" spans="3:3" x14ac:dyDescent="0.25">
      <c r="C145" t="s">
        <v>209</v>
      </c>
    </row>
    <row r="146" spans="3:3" x14ac:dyDescent="0.25">
      <c r="C146" t="s">
        <v>210</v>
      </c>
    </row>
    <row r="147" spans="3:3" x14ac:dyDescent="0.25">
      <c r="C147" t="s">
        <v>211</v>
      </c>
    </row>
    <row r="148" spans="3:3" x14ac:dyDescent="0.25">
      <c r="C148" t="s">
        <v>212</v>
      </c>
    </row>
  </sheetData>
  <mergeCells count="6">
    <mergeCell ref="P25:Q25"/>
    <mergeCell ref="E6:G6"/>
    <mergeCell ref="H6:K6"/>
    <mergeCell ref="C7:D7"/>
    <mergeCell ref="H7:K7"/>
    <mergeCell ref="C25:L25"/>
  </mergeCells>
  <conditionalFormatting sqref="C21:L21">
    <cfRule type="cellIs" dxfId="39" priority="5" operator="greaterThanOrEqual">
      <formula>0</formula>
    </cfRule>
    <cfRule type="cellIs" dxfId="38" priority="6" operator="lessThan">
      <formula>0</formula>
    </cfRule>
  </conditionalFormatting>
  <conditionalFormatting sqref="C13:L13">
    <cfRule type="containsText" dxfId="37" priority="7" operator="containsText" text="Oui">
      <formula>NOT(ISERROR(SEARCH("Oui",C13)))</formula>
    </cfRule>
    <cfRule type="containsText" dxfId="36" priority="8" operator="containsText" text="Non">
      <formula>NOT(ISERROR(SEARCH("Non",C13)))</formula>
    </cfRule>
  </conditionalFormatting>
  <conditionalFormatting sqref="M27:M34 M36:M43 M45:M53 M55:M61 M63:M70 M72:M79 M81:M88 M90:M97 M99:M106 M108:M111 M113:M119">
    <cfRule type="containsText" dxfId="35" priority="2" operator="containsText" text="Non Possédée">
      <formula>NOT(ISERROR(SEARCH("Non Possédée",M27)))</formula>
    </cfRule>
    <cfRule type="containsText" dxfId="34" priority="3" operator="containsText" text="Assiégée">
      <formula>NOT(ISERROR(SEARCH("Assiégée",M27)))</formula>
    </cfRule>
    <cfRule type="containsText" dxfId="33" priority="4" operator="containsText" text="Possédée">
      <formula>NOT(ISERROR(SEARCH("Possédée",M27)))</formula>
    </cfRule>
  </conditionalFormatting>
  <conditionalFormatting sqref="N27:N34 N36:N43 N45:N53 N63:N70 N72:N79 N81:N88 N90:N97 N99:N106 N108:N111 N113:N119 N55:N61">
    <cfRule type="cellIs" dxfId="32" priority="1" operator="greaterThan">
      <formula>0</formula>
    </cfRule>
  </conditionalFormatting>
  <dataValidations count="4">
    <dataValidation type="list" errorStyle="information" allowBlank="1" showInputMessage="1" showErrorMessage="1" sqref="D8 E7">
      <formula1>Année</formula1>
    </dataValidation>
    <dataValidation type="list" allowBlank="1" showInputMessage="1" showErrorMessage="1" sqref="N108:N111 N27:N34 N36:N43 N113:N119 N45:N53 N63:N70 N72:N79 N81:N88 N90:N97 N99:N106 N55:N61">
      <formula1>Malus</formula1>
    </dataValidation>
    <dataValidation type="list" allowBlank="1" showInputMessage="1" showErrorMessage="1" sqref="M99:M106 M27:M34 M36:M43 M45:M53 M55:M61 M63:M70 M72:M79 M81:M88 M90:M97 M108:M111 M113:M119">
      <formula1>"Possédée,Assiégée,Non Possédée"</formula1>
    </dataValidation>
    <dataValidation type="list" allowBlank="1" showInputMessage="1" showErrorMessage="1" sqref="E6">
      <formula1>Provinces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60</vt:i4>
      </vt:variant>
    </vt:vector>
  </HeadingPairs>
  <TitlesOfParts>
    <vt:vector size="73" baseType="lpstr">
      <vt:lpstr>Ressources</vt:lpstr>
      <vt:lpstr>Alinor</vt:lpstr>
      <vt:lpstr>Bordeciel</vt:lpstr>
      <vt:lpstr>Cyrodiil</vt:lpstr>
      <vt:lpstr>Elsweyr</vt:lpstr>
      <vt:lpstr>Hauteroche</vt:lpstr>
      <vt:lpstr>Lenclume</vt:lpstr>
      <vt:lpstr>Marais Noir</vt:lpstr>
      <vt:lpstr>Morrowind</vt:lpstr>
      <vt:lpstr>Val-Boisé</vt:lpstr>
      <vt:lpstr>Solstheim</vt:lpstr>
      <vt:lpstr>Orsinium</vt:lpstr>
      <vt:lpstr>Pirates</vt:lpstr>
      <vt:lpstr>Bordeciel!Année</vt:lpstr>
      <vt:lpstr>Cyrodiil!Année</vt:lpstr>
      <vt:lpstr>Elsweyr!Année</vt:lpstr>
      <vt:lpstr>Hauteroche!Année</vt:lpstr>
      <vt:lpstr>Lenclume!Année</vt:lpstr>
      <vt:lpstr>'Marais Noir'!Année</vt:lpstr>
      <vt:lpstr>Morrowind!Année</vt:lpstr>
      <vt:lpstr>Orsinium!Année</vt:lpstr>
      <vt:lpstr>Pirates!Année</vt:lpstr>
      <vt:lpstr>Solstheim!Année</vt:lpstr>
      <vt:lpstr>'Val-Boisé'!Année</vt:lpstr>
      <vt:lpstr>Année</vt:lpstr>
      <vt:lpstr>Bordeciel!Malus</vt:lpstr>
      <vt:lpstr>Cyrodiil!Malus</vt:lpstr>
      <vt:lpstr>Elsweyr!Malus</vt:lpstr>
      <vt:lpstr>Hauteroche!Malus</vt:lpstr>
      <vt:lpstr>Lenclume!Malus</vt:lpstr>
      <vt:lpstr>'Marais Noir'!Malus</vt:lpstr>
      <vt:lpstr>Morrowind!Malus</vt:lpstr>
      <vt:lpstr>Orsinium!Malus</vt:lpstr>
      <vt:lpstr>Pirates!Malus</vt:lpstr>
      <vt:lpstr>Solstheim!Malus</vt:lpstr>
      <vt:lpstr>'Val-Boisé'!Malus</vt:lpstr>
      <vt:lpstr>Malus</vt:lpstr>
      <vt:lpstr>Bordeciel!Pénalité</vt:lpstr>
      <vt:lpstr>Cyrodiil!Pénalité</vt:lpstr>
      <vt:lpstr>Elsweyr!Pénalité</vt:lpstr>
      <vt:lpstr>Hauteroche!Pénalité</vt:lpstr>
      <vt:lpstr>Lenclume!Pénalité</vt:lpstr>
      <vt:lpstr>'Marais Noir'!Pénalité</vt:lpstr>
      <vt:lpstr>Morrowind!Pénalité</vt:lpstr>
      <vt:lpstr>Orsinium!Pénalité</vt:lpstr>
      <vt:lpstr>Pirates!Pénalité</vt:lpstr>
      <vt:lpstr>Solstheim!Pénalité</vt:lpstr>
      <vt:lpstr>'Val-Boisé'!Pénalité</vt:lpstr>
      <vt:lpstr>Pénalité</vt:lpstr>
      <vt:lpstr>Bordeciel!Possession</vt:lpstr>
      <vt:lpstr>Cyrodiil!Possession</vt:lpstr>
      <vt:lpstr>Elsweyr!Possession</vt:lpstr>
      <vt:lpstr>Hauteroche!Possession</vt:lpstr>
      <vt:lpstr>Lenclume!Possession</vt:lpstr>
      <vt:lpstr>'Marais Noir'!Possession</vt:lpstr>
      <vt:lpstr>Morrowind!Possession</vt:lpstr>
      <vt:lpstr>Orsinium!Possession</vt:lpstr>
      <vt:lpstr>Pirates!Possession</vt:lpstr>
      <vt:lpstr>Solstheim!Possession</vt:lpstr>
      <vt:lpstr>'Val-Boisé'!Possession</vt:lpstr>
      <vt:lpstr>Possession</vt:lpstr>
      <vt:lpstr>Bordeciel!Provinces</vt:lpstr>
      <vt:lpstr>Cyrodiil!Provinces</vt:lpstr>
      <vt:lpstr>Elsweyr!Provinces</vt:lpstr>
      <vt:lpstr>Hauteroche!Provinces</vt:lpstr>
      <vt:lpstr>Lenclume!Provinces</vt:lpstr>
      <vt:lpstr>'Marais Noir'!Provinces</vt:lpstr>
      <vt:lpstr>Morrowind!Provinces</vt:lpstr>
      <vt:lpstr>Orsinium!Provinces</vt:lpstr>
      <vt:lpstr>Pirates!Provinces</vt:lpstr>
      <vt:lpstr>Solstheim!Provinces</vt:lpstr>
      <vt:lpstr>'Val-Boisé'!Provinces</vt:lpstr>
      <vt:lpstr>Provinces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Amras Anárion</dc:creator>
  <cp:lastModifiedBy>Amras Anárion</cp:lastModifiedBy>
  <dcterms:created xsi:type="dcterms:W3CDTF">2013-01-14T22:47:47Z</dcterms:created>
  <dcterms:modified xsi:type="dcterms:W3CDTF">2013-12-05T13:14:21Z</dcterms:modified>
</cp:coreProperties>
</file>