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ras Anárion\Desktop\Mon monde elfique\Wargame RP\V14\"/>
    </mc:Choice>
  </mc:AlternateContent>
  <bookViews>
    <workbookView xWindow="120" yWindow="420" windowWidth="28515" windowHeight="12480" tabRatio="593"/>
  </bookViews>
  <sheets>
    <sheet name="Ressources" sheetId="1" r:id="rId1"/>
    <sheet name="Alinor" sheetId="2" r:id="rId2"/>
    <sheet name="Bordeciel" sheetId="3" r:id="rId3"/>
    <sheet name="Cyrodiil" sheetId="4" r:id="rId4"/>
    <sheet name="Elsweyr" sheetId="5" r:id="rId5"/>
    <sheet name="Hauteroche" sheetId="6" r:id="rId6"/>
    <sheet name="Lenclume" sheetId="7" r:id="rId7"/>
    <sheet name="Argonie" sheetId="8" r:id="rId8"/>
    <sheet name="Morrowind" sheetId="9" r:id="rId9"/>
    <sheet name="Orsinium" sheetId="10" r:id="rId10"/>
    <sheet name="Solstheim" sheetId="11" r:id="rId11"/>
    <sheet name="Val-Boisé" sheetId="12" r:id="rId12"/>
  </sheets>
  <definedNames>
    <definedName name="Année">Ressources!$C$165:$C$190</definedName>
    <definedName name="Malus">Ressources!$B$165:$B$185</definedName>
    <definedName name="Pénalité">#REF!,#REF!,#REF!,#REF!,#REF!,#REF!,#REF!,#REF!,#REF!,#REF!,#REF!,#REF!</definedName>
    <definedName name="Possession">#REF!,#REF!,#REF!,#REF!,#REF!,#REF!,#REF!,#REF!,#REF!,#REF!,#REF!</definedName>
    <definedName name="Provinces">Ressources!$A$163:$A$174</definedName>
  </definedNames>
  <calcPr calcId="162913"/>
</workbook>
</file>

<file path=xl/calcChain.xml><?xml version="1.0" encoding="utf-8"?>
<calcChain xmlns="http://schemas.openxmlformats.org/spreadsheetml/2006/main">
  <c r="L26" i="12" l="1"/>
  <c r="J26" i="12"/>
  <c r="I26" i="12"/>
  <c r="H26" i="12"/>
  <c r="G26" i="12"/>
  <c r="L26" i="11"/>
  <c r="J26" i="11"/>
  <c r="I26" i="11"/>
  <c r="H26" i="11"/>
  <c r="G26" i="11"/>
  <c r="L26" i="10"/>
  <c r="J26" i="10"/>
  <c r="I26" i="10"/>
  <c r="H26" i="10"/>
  <c r="G26" i="10"/>
  <c r="L26" i="9"/>
  <c r="J26" i="9"/>
  <c r="I26" i="9"/>
  <c r="H26" i="9"/>
  <c r="G26" i="9"/>
  <c r="L26" i="8"/>
  <c r="J26" i="8"/>
  <c r="I26" i="8"/>
  <c r="H26" i="8"/>
  <c r="G26" i="8"/>
  <c r="L26" i="7"/>
  <c r="J26" i="7"/>
  <c r="I26" i="7"/>
  <c r="H26" i="7"/>
  <c r="G26" i="7"/>
  <c r="L26" i="6"/>
  <c r="J26" i="6"/>
  <c r="I26" i="6"/>
  <c r="H26" i="6"/>
  <c r="G26" i="6"/>
  <c r="L26" i="5"/>
  <c r="J26" i="5"/>
  <c r="I26" i="5"/>
  <c r="H26" i="5"/>
  <c r="G26" i="5"/>
  <c r="L26" i="3"/>
  <c r="J26" i="3"/>
  <c r="I26" i="3"/>
  <c r="H26" i="3"/>
  <c r="G26" i="3"/>
  <c r="L26" i="2"/>
  <c r="J26" i="2"/>
  <c r="I26" i="2"/>
  <c r="H26" i="2"/>
  <c r="G26" i="2"/>
  <c r="I26" i="4"/>
  <c r="L26" i="4"/>
  <c r="J26" i="4"/>
  <c r="H26" i="4"/>
  <c r="G26" i="4"/>
  <c r="J21" i="1"/>
  <c r="P55" i="1" l="1"/>
  <c r="P56" i="1"/>
  <c r="P57" i="1"/>
  <c r="P58" i="1"/>
  <c r="P59" i="1"/>
  <c r="P60" i="1"/>
  <c r="P54" i="1"/>
  <c r="P48" i="1"/>
  <c r="P45" i="1"/>
  <c r="P37" i="1"/>
  <c r="P38" i="1" s="1"/>
  <c r="P33" i="1"/>
  <c r="P26" i="1"/>
  <c r="P27" i="1"/>
  <c r="P28" i="1"/>
  <c r="P29" i="1"/>
  <c r="P30" i="1"/>
  <c r="P31" i="1"/>
  <c r="P32" i="1"/>
  <c r="P17" i="1"/>
  <c r="N14" i="1"/>
  <c r="O14" i="1"/>
  <c r="P14" i="1"/>
  <c r="Q14" i="1"/>
  <c r="N15" i="1"/>
  <c r="O15" i="1"/>
  <c r="P15" i="1"/>
  <c r="Q15" i="1"/>
  <c r="N16" i="1"/>
  <c r="O16" i="1"/>
  <c r="P16" i="1"/>
  <c r="Q16" i="1"/>
  <c r="O13" i="1"/>
  <c r="P13" i="1"/>
  <c r="Q13" i="1"/>
  <c r="N13" i="1"/>
  <c r="L16" i="1"/>
  <c r="L15" i="1"/>
  <c r="L14" i="1"/>
  <c r="L13" i="1"/>
  <c r="J20" i="1"/>
  <c r="J13" i="1"/>
  <c r="G24" i="5"/>
  <c r="G23" i="5"/>
  <c r="L24" i="12"/>
  <c r="K24" i="12"/>
  <c r="J24" i="12"/>
  <c r="I24" i="12"/>
  <c r="H24" i="12"/>
  <c r="G24" i="12"/>
  <c r="L23" i="12"/>
  <c r="K23" i="12"/>
  <c r="J23" i="12"/>
  <c r="I23" i="12"/>
  <c r="H23" i="12"/>
  <c r="G23" i="12"/>
  <c r="L24" i="11"/>
  <c r="K24" i="11"/>
  <c r="J24" i="11"/>
  <c r="I24" i="11"/>
  <c r="H24" i="11"/>
  <c r="G24" i="11"/>
  <c r="L23" i="11"/>
  <c r="K23" i="11"/>
  <c r="J23" i="11"/>
  <c r="I23" i="11"/>
  <c r="H23" i="11"/>
  <c r="G23" i="11"/>
  <c r="L24" i="10"/>
  <c r="K24" i="10"/>
  <c r="J24" i="10"/>
  <c r="I24" i="10"/>
  <c r="H24" i="10"/>
  <c r="G24" i="10"/>
  <c r="L23" i="10"/>
  <c r="K23" i="10"/>
  <c r="J23" i="10"/>
  <c r="I23" i="10"/>
  <c r="H23" i="10"/>
  <c r="G23" i="10"/>
  <c r="L24" i="9"/>
  <c r="K24" i="9"/>
  <c r="J24" i="9"/>
  <c r="I24" i="9"/>
  <c r="H24" i="9"/>
  <c r="G24" i="9"/>
  <c r="L23" i="9"/>
  <c r="K23" i="9"/>
  <c r="J23" i="9"/>
  <c r="I23" i="9"/>
  <c r="H23" i="9"/>
  <c r="G23" i="9"/>
  <c r="L24" i="8"/>
  <c r="K24" i="8"/>
  <c r="J24" i="8"/>
  <c r="I24" i="8"/>
  <c r="H24" i="8"/>
  <c r="G24" i="8"/>
  <c r="L23" i="8"/>
  <c r="K23" i="8"/>
  <c r="J23" i="8"/>
  <c r="I23" i="8"/>
  <c r="H23" i="8"/>
  <c r="G23" i="8"/>
  <c r="G79" i="8" s="1"/>
  <c r="L24" i="7"/>
  <c r="K24" i="7"/>
  <c r="J24" i="7"/>
  <c r="I24" i="7"/>
  <c r="H24" i="7"/>
  <c r="G24" i="7"/>
  <c r="L23" i="7"/>
  <c r="K23" i="7"/>
  <c r="J23" i="7"/>
  <c r="I23" i="7"/>
  <c r="H23" i="7"/>
  <c r="G23" i="7"/>
  <c r="L24" i="6"/>
  <c r="K24" i="6"/>
  <c r="J24" i="6"/>
  <c r="I24" i="6"/>
  <c r="H24" i="6"/>
  <c r="G24" i="6"/>
  <c r="L23" i="6"/>
  <c r="K23" i="6"/>
  <c r="J23" i="6"/>
  <c r="I23" i="6"/>
  <c r="H23" i="6"/>
  <c r="H79" i="6" s="1"/>
  <c r="G23" i="6"/>
  <c r="G79" i="6" s="1"/>
  <c r="F79" i="6" s="1"/>
  <c r="I13" i="6" s="1"/>
  <c r="L24" i="5"/>
  <c r="K24" i="5"/>
  <c r="J24" i="5"/>
  <c r="I24" i="5"/>
  <c r="H24" i="5"/>
  <c r="L23" i="5"/>
  <c r="K23" i="5"/>
  <c r="J23" i="5"/>
  <c r="I23" i="5"/>
  <c r="H23" i="5"/>
  <c r="L24" i="4"/>
  <c r="K24" i="4"/>
  <c r="J24" i="4"/>
  <c r="I24" i="4"/>
  <c r="H24" i="4"/>
  <c r="G24" i="4"/>
  <c r="L23" i="4"/>
  <c r="L79" i="4" s="1"/>
  <c r="K23" i="4"/>
  <c r="K79" i="4" s="1"/>
  <c r="J23" i="4"/>
  <c r="J79" i="4" s="1"/>
  <c r="I23" i="4"/>
  <c r="I79" i="4" s="1"/>
  <c r="H23" i="4"/>
  <c r="H79" i="4" s="1"/>
  <c r="G23" i="4"/>
  <c r="G79" i="4" s="1"/>
  <c r="L24" i="3"/>
  <c r="K24" i="3"/>
  <c r="J24" i="3"/>
  <c r="I24" i="3"/>
  <c r="H24" i="3"/>
  <c r="G24" i="3"/>
  <c r="L23" i="3"/>
  <c r="K23" i="3"/>
  <c r="J23" i="3"/>
  <c r="I23" i="3"/>
  <c r="H23" i="3"/>
  <c r="G23" i="3"/>
  <c r="L24" i="2"/>
  <c r="H24" i="2"/>
  <c r="I24" i="2"/>
  <c r="J24" i="2"/>
  <c r="K24" i="2"/>
  <c r="G24" i="2"/>
  <c r="K23" i="2"/>
  <c r="H23" i="2"/>
  <c r="G23" i="2"/>
  <c r="I13" i="2"/>
  <c r="M79" i="12"/>
  <c r="K79" i="12"/>
  <c r="J79" i="12"/>
  <c r="I79" i="12"/>
  <c r="H79" i="12"/>
  <c r="G79" i="12"/>
  <c r="M79" i="11"/>
  <c r="K79" i="11"/>
  <c r="J79" i="11"/>
  <c r="I79" i="11"/>
  <c r="G79" i="11"/>
  <c r="M79" i="10"/>
  <c r="L79" i="10"/>
  <c r="K79" i="10"/>
  <c r="J79" i="10"/>
  <c r="I79" i="10"/>
  <c r="G79" i="10"/>
  <c r="M79" i="9"/>
  <c r="L79" i="9"/>
  <c r="K79" i="9"/>
  <c r="J79" i="9"/>
  <c r="I79" i="9"/>
  <c r="F79" i="9" s="1"/>
  <c r="I13" i="9" s="1"/>
  <c r="H79" i="9"/>
  <c r="G79" i="9"/>
  <c r="M79" i="8"/>
  <c r="L79" i="8"/>
  <c r="K79" i="8"/>
  <c r="J79" i="8"/>
  <c r="I79" i="8"/>
  <c r="H79" i="8"/>
  <c r="M79" i="7"/>
  <c r="L79" i="7"/>
  <c r="K79" i="7"/>
  <c r="J79" i="7"/>
  <c r="I79" i="7"/>
  <c r="H79" i="7"/>
  <c r="G79" i="7"/>
  <c r="F79" i="7"/>
  <c r="I13" i="7" s="1"/>
  <c r="M79" i="6"/>
  <c r="L79" i="6"/>
  <c r="K79" i="6"/>
  <c r="J79" i="6"/>
  <c r="I79" i="6"/>
  <c r="M79" i="5"/>
  <c r="L79" i="5"/>
  <c r="K79" i="5"/>
  <c r="J79" i="5"/>
  <c r="I79" i="5"/>
  <c r="H79" i="5"/>
  <c r="G79" i="5"/>
  <c r="F79" i="5"/>
  <c r="I13" i="5" s="1"/>
  <c r="M79" i="4"/>
  <c r="M79" i="3"/>
  <c r="L79" i="3"/>
  <c r="K79" i="3"/>
  <c r="J79" i="3"/>
  <c r="I79" i="3"/>
  <c r="H79" i="3"/>
  <c r="G79" i="3"/>
  <c r="F79" i="3" s="1"/>
  <c r="I13" i="3" s="1"/>
  <c r="M79" i="2"/>
  <c r="F79" i="2"/>
  <c r="I11" i="2"/>
  <c r="F79" i="4" l="1"/>
  <c r="I13" i="4" s="1"/>
  <c r="P34" i="1"/>
  <c r="Q18" i="1"/>
  <c r="L18" i="1"/>
  <c r="N18" i="1"/>
  <c r="P18" i="1"/>
  <c r="O18" i="1"/>
  <c r="L79" i="12"/>
  <c r="F79" i="12" s="1"/>
  <c r="I13" i="12" s="1"/>
  <c r="H79" i="11"/>
  <c r="F79" i="11" s="1"/>
  <c r="I13" i="11" s="1"/>
  <c r="L79" i="11"/>
  <c r="F79" i="10"/>
  <c r="I13" i="10" s="1"/>
  <c r="H79" i="10"/>
  <c r="F79" i="8"/>
  <c r="I13" i="8" s="1"/>
  <c r="L79" i="2"/>
  <c r="K79" i="2"/>
  <c r="J79" i="2"/>
  <c r="G79" i="2"/>
  <c r="H79" i="2"/>
  <c r="I79" i="2"/>
  <c r="I11" i="12" l="1"/>
  <c r="I11" i="11"/>
  <c r="I11" i="10"/>
  <c r="I11" i="9"/>
  <c r="I11" i="8"/>
  <c r="I11" i="7"/>
  <c r="I11" i="6"/>
  <c r="I11" i="5"/>
  <c r="I11" i="4"/>
  <c r="I11" i="3"/>
  <c r="H171" i="1"/>
  <c r="H172" i="1"/>
  <c r="H173" i="1"/>
  <c r="H174" i="1"/>
  <c r="H175" i="1"/>
  <c r="H176" i="1"/>
  <c r="H177" i="1"/>
  <c r="H178" i="1"/>
  <c r="H179" i="1"/>
  <c r="H180" i="1"/>
  <c r="H170" i="1"/>
  <c r="J15" i="1" l="1"/>
  <c r="J14" i="1"/>
  <c r="N8" i="1"/>
  <c r="L19" i="1" l="1"/>
  <c r="J19" i="1"/>
  <c r="J18" i="1"/>
  <c r="G43" i="12"/>
  <c r="D11" i="12"/>
  <c r="G43" i="11"/>
  <c r="D11" i="11"/>
  <c r="G43" i="10"/>
  <c r="D11" i="10"/>
  <c r="G43" i="9"/>
  <c r="D11" i="9"/>
  <c r="G43" i="8"/>
  <c r="D11" i="8"/>
  <c r="G43" i="7"/>
  <c r="D11" i="7"/>
  <c r="G43" i="6"/>
  <c r="D11" i="6"/>
  <c r="G43" i="5"/>
  <c r="D11" i="5"/>
  <c r="G43" i="4"/>
  <c r="D11" i="4"/>
  <c r="G43" i="3"/>
  <c r="D11" i="3"/>
  <c r="G43" i="2"/>
  <c r="D11" i="2"/>
  <c r="L23" i="2"/>
  <c r="J23" i="2"/>
  <c r="I23" i="2"/>
  <c r="G39" i="4" l="1"/>
  <c r="G39" i="5"/>
  <c r="G39" i="2"/>
  <c r="G39" i="12"/>
  <c r="G39" i="8"/>
  <c r="G39" i="9"/>
  <c r="G39" i="6"/>
  <c r="G39" i="11"/>
  <c r="G39" i="10"/>
  <c r="G39" i="7"/>
  <c r="G39" i="3"/>
  <c r="P49" i="1"/>
  <c r="I44" i="1"/>
  <c r="B49" i="9" l="1"/>
  <c r="B49" i="12"/>
  <c r="B49" i="10"/>
  <c r="B49" i="8"/>
  <c r="B49" i="6"/>
  <c r="B49" i="4"/>
  <c r="B49" i="2"/>
  <c r="B49" i="11"/>
  <c r="B49" i="7"/>
  <c r="B49" i="5"/>
  <c r="B49" i="3"/>
  <c r="G54" i="12"/>
  <c r="G54" i="4"/>
  <c r="G54" i="7"/>
  <c r="G54" i="10"/>
  <c r="G54" i="5"/>
  <c r="G54" i="8"/>
  <c r="G54" i="11"/>
  <c r="G54" i="3"/>
  <c r="G54" i="2"/>
  <c r="G54" i="6"/>
  <c r="G54" i="9"/>
  <c r="C25" i="1"/>
  <c r="B30" i="11" l="1"/>
  <c r="B30" i="9"/>
  <c r="B30" i="7"/>
  <c r="B30" i="5"/>
  <c r="B30" i="3"/>
  <c r="B30" i="2"/>
  <c r="B30" i="12"/>
  <c r="B30" i="10"/>
  <c r="B30" i="8"/>
  <c r="B30" i="6"/>
  <c r="B30" i="4"/>
  <c r="AC70" i="1"/>
  <c r="AC71" i="1"/>
  <c r="AC72" i="1"/>
  <c r="AC73" i="1"/>
  <c r="AC74" i="1"/>
  <c r="AC75" i="1"/>
  <c r="AC76" i="1"/>
  <c r="AC78" i="1"/>
  <c r="AC79" i="1"/>
  <c r="AC80" i="1"/>
  <c r="AC81" i="1"/>
  <c r="AC82" i="1"/>
  <c r="AC83" i="1"/>
  <c r="AC84" i="1"/>
  <c r="AC85" i="1"/>
  <c r="AC87" i="1"/>
  <c r="AC88" i="1"/>
  <c r="AC89" i="1"/>
  <c r="AC90" i="1"/>
  <c r="AC91" i="1"/>
  <c r="AC92" i="1"/>
  <c r="H92" i="1" s="1"/>
  <c r="AC93" i="1"/>
  <c r="L93" i="1" s="1"/>
  <c r="AC94" i="1"/>
  <c r="AC95" i="1"/>
  <c r="AC97" i="1"/>
  <c r="AC98" i="1"/>
  <c r="AC99" i="1"/>
  <c r="AC100" i="1"/>
  <c r="AC101" i="1"/>
  <c r="AC102" i="1"/>
  <c r="AC103" i="1"/>
  <c r="AC105" i="1"/>
  <c r="AC106" i="1"/>
  <c r="AC107" i="1"/>
  <c r="AC108" i="1"/>
  <c r="AC109" i="1"/>
  <c r="AC110" i="1"/>
  <c r="AC111" i="1"/>
  <c r="B111" i="1" s="1"/>
  <c r="AC112" i="1"/>
  <c r="AC114" i="1"/>
  <c r="AC115" i="1"/>
  <c r="AC116" i="1"/>
  <c r="AC117" i="1"/>
  <c r="AC118" i="1"/>
  <c r="AC119" i="1"/>
  <c r="AC120" i="1"/>
  <c r="AC121" i="1"/>
  <c r="AC123" i="1"/>
  <c r="AC124" i="1"/>
  <c r="AC125" i="1"/>
  <c r="AC126" i="1"/>
  <c r="AC127" i="1"/>
  <c r="AC128" i="1"/>
  <c r="AC129" i="1"/>
  <c r="AC130" i="1"/>
  <c r="AC132" i="1"/>
  <c r="AC133" i="1"/>
  <c r="AC134" i="1"/>
  <c r="AC135" i="1"/>
  <c r="AC136" i="1"/>
  <c r="AC137" i="1"/>
  <c r="AC138" i="1"/>
  <c r="AC139" i="1"/>
  <c r="AC141" i="1"/>
  <c r="AC142" i="1"/>
  <c r="AC143" i="1"/>
  <c r="AC144" i="1"/>
  <c r="AC145" i="1"/>
  <c r="AC146" i="1"/>
  <c r="AC147" i="1"/>
  <c r="AC148" i="1"/>
  <c r="AC150" i="1"/>
  <c r="AC151" i="1"/>
  <c r="AC152" i="1"/>
  <c r="AC153" i="1"/>
  <c r="AC155" i="1"/>
  <c r="AC156" i="1"/>
  <c r="AC157" i="1"/>
  <c r="AC158" i="1"/>
  <c r="AC159" i="1"/>
  <c r="AC160" i="1"/>
  <c r="AC69" i="1"/>
  <c r="D71" i="1" l="1"/>
  <c r="B11" i="1"/>
  <c r="J83" i="1"/>
  <c r="H165" i="1"/>
  <c r="H163" i="1" s="1"/>
  <c r="N7" i="1" l="1"/>
  <c r="I9" i="1" s="1"/>
  <c r="F13" i="4"/>
  <c r="F13" i="10"/>
  <c r="F13" i="9"/>
  <c r="F13" i="5"/>
  <c r="F13" i="2"/>
  <c r="F13" i="8"/>
  <c r="F13" i="6"/>
  <c r="F13" i="12"/>
  <c r="F13" i="11"/>
  <c r="F13" i="3"/>
  <c r="F13" i="7"/>
  <c r="N165" i="1"/>
  <c r="N166" i="1" s="1"/>
  <c r="N164" i="1"/>
  <c r="O164" i="1"/>
  <c r="O19" i="1"/>
  <c r="P19" i="1"/>
  <c r="Q19" i="1"/>
  <c r="N19" i="1"/>
  <c r="J147" i="1"/>
  <c r="J148" i="1"/>
  <c r="D72" i="1"/>
  <c r="X70" i="1"/>
  <c r="X71" i="1"/>
  <c r="X72" i="1"/>
  <c r="X73" i="1"/>
  <c r="X74" i="1"/>
  <c r="X75" i="1"/>
  <c r="X76" i="1"/>
  <c r="X78" i="1"/>
  <c r="X79" i="1"/>
  <c r="X80" i="1"/>
  <c r="X81" i="1"/>
  <c r="X82" i="1"/>
  <c r="X83" i="1"/>
  <c r="X84" i="1"/>
  <c r="X85" i="1"/>
  <c r="X87" i="1"/>
  <c r="X88" i="1"/>
  <c r="X89" i="1"/>
  <c r="X90" i="1"/>
  <c r="X91" i="1"/>
  <c r="X92" i="1"/>
  <c r="X93" i="1"/>
  <c r="X94" i="1"/>
  <c r="X95" i="1"/>
  <c r="X97" i="1"/>
  <c r="X98" i="1"/>
  <c r="X99" i="1"/>
  <c r="X100" i="1"/>
  <c r="X101" i="1"/>
  <c r="X102" i="1"/>
  <c r="X103" i="1"/>
  <c r="X105" i="1"/>
  <c r="X106" i="1"/>
  <c r="X107" i="1"/>
  <c r="X108" i="1"/>
  <c r="X109" i="1"/>
  <c r="X110" i="1"/>
  <c r="X111" i="1"/>
  <c r="X112" i="1"/>
  <c r="X114" i="1"/>
  <c r="X115" i="1"/>
  <c r="X116" i="1"/>
  <c r="X117" i="1"/>
  <c r="X118" i="1"/>
  <c r="X119" i="1"/>
  <c r="X120" i="1"/>
  <c r="X121" i="1"/>
  <c r="X123" i="1"/>
  <c r="X124" i="1"/>
  <c r="X125" i="1"/>
  <c r="X126" i="1"/>
  <c r="X127" i="1"/>
  <c r="X128" i="1"/>
  <c r="X129" i="1"/>
  <c r="X130" i="1"/>
  <c r="X132" i="1"/>
  <c r="X133" i="1"/>
  <c r="X134" i="1"/>
  <c r="X135" i="1"/>
  <c r="X136" i="1"/>
  <c r="X137" i="1"/>
  <c r="X138" i="1"/>
  <c r="X139" i="1"/>
  <c r="X141" i="1"/>
  <c r="X142" i="1"/>
  <c r="X143" i="1"/>
  <c r="X144" i="1"/>
  <c r="X145" i="1"/>
  <c r="X146" i="1"/>
  <c r="X147" i="1"/>
  <c r="X148" i="1"/>
  <c r="X150" i="1"/>
  <c r="X151" i="1"/>
  <c r="X152" i="1"/>
  <c r="X153" i="1"/>
  <c r="X69" i="1"/>
  <c r="J154" i="1"/>
  <c r="J149" i="1"/>
  <c r="J140" i="1"/>
  <c r="J131" i="1"/>
  <c r="J122" i="1"/>
  <c r="J113" i="1"/>
  <c r="J104" i="1"/>
  <c r="J96" i="1"/>
  <c r="J86" i="1"/>
  <c r="J77" i="1"/>
  <c r="H154" i="1"/>
  <c r="H149" i="1"/>
  <c r="H140" i="1"/>
  <c r="H131" i="1"/>
  <c r="H122" i="1"/>
  <c r="H113" i="1"/>
  <c r="H104" i="1"/>
  <c r="H96" i="1"/>
  <c r="H86" i="1"/>
  <c r="H77" i="1"/>
  <c r="O11" i="1" l="1"/>
  <c r="J16" i="5" s="1"/>
  <c r="AB69" i="1"/>
  <c r="AB121" i="1"/>
  <c r="AB141" i="1"/>
  <c r="AB103" i="1"/>
  <c r="AB111" i="1"/>
  <c r="AB137" i="1"/>
  <c r="AB82" i="1"/>
  <c r="AB135" i="1"/>
  <c r="AB112" i="1"/>
  <c r="AB80" i="1"/>
  <c r="AB79" i="1"/>
  <c r="AB70" i="1"/>
  <c r="AB81" i="1"/>
  <c r="AB119" i="1"/>
  <c r="AB132" i="1"/>
  <c r="AB94" i="1"/>
  <c r="AB102" i="1"/>
  <c r="AB92" i="1"/>
  <c r="AB73" i="1"/>
  <c r="AB126" i="1"/>
  <c r="AB143" i="1"/>
  <c r="AB151" i="1"/>
  <c r="AB101" i="1"/>
  <c r="AB129" i="1"/>
  <c r="AB97" i="1"/>
  <c r="AB152" i="1"/>
  <c r="AB123" i="1"/>
  <c r="AB85" i="1"/>
  <c r="AB93" i="1"/>
  <c r="AB136" i="1"/>
  <c r="AB130" i="1"/>
  <c r="AB117" i="1"/>
  <c r="AB89" i="1"/>
  <c r="AB133" i="1"/>
  <c r="AB128" i="1"/>
  <c r="AB145" i="1"/>
  <c r="AB142" i="1"/>
  <c r="AB100" i="1"/>
  <c r="AB125" i="1"/>
  <c r="AB114" i="1"/>
  <c r="AB76" i="1"/>
  <c r="AB84" i="1"/>
  <c r="AB127" i="1"/>
  <c r="AB146" i="1"/>
  <c r="AB108" i="1"/>
  <c r="AB148" i="1"/>
  <c r="AB124" i="1"/>
  <c r="AB71" i="1"/>
  <c r="AB115" i="1"/>
  <c r="AB90" i="1"/>
  <c r="AB87" i="1"/>
  <c r="AB153" i="1"/>
  <c r="AB116" i="1"/>
  <c r="AB105" i="1"/>
  <c r="AB147" i="1"/>
  <c r="AB75" i="1"/>
  <c r="AB118" i="1"/>
  <c r="AB110" i="1"/>
  <c r="AB99" i="1"/>
  <c r="AB134" i="1"/>
  <c r="AB107" i="1"/>
  <c r="AB95" i="1"/>
  <c r="AB138" i="1"/>
  <c r="AB83" i="1"/>
  <c r="AB109" i="1"/>
  <c r="AB106" i="1"/>
  <c r="AB74" i="1"/>
  <c r="AB150" i="1"/>
  <c r="AB78" i="1"/>
  <c r="AB120" i="1"/>
  <c r="AB139" i="1"/>
  <c r="AB91" i="1"/>
  <c r="AB144" i="1"/>
  <c r="AB72" i="1"/>
  <c r="AB98" i="1"/>
  <c r="AB88" i="1"/>
  <c r="M20" i="1"/>
  <c r="P164" i="1"/>
  <c r="Q163" i="1"/>
  <c r="P163" i="1"/>
  <c r="N167" i="1"/>
  <c r="P50" i="1" s="1"/>
  <c r="J163" i="1"/>
  <c r="N168" i="1"/>
  <c r="L163" i="1"/>
  <c r="O163" i="1"/>
  <c r="N163" i="1"/>
  <c r="B81" i="1"/>
  <c r="J81" i="1"/>
  <c r="F81" i="1"/>
  <c r="D81" i="1"/>
  <c r="H72" i="1"/>
  <c r="L72" i="1"/>
  <c r="B72" i="1"/>
  <c r="K161" i="1"/>
  <c r="I161" i="1"/>
  <c r="I163" i="1" l="1"/>
  <c r="N170" i="1" s="1"/>
  <c r="N9" i="1" s="1"/>
  <c r="I25" i="2"/>
  <c r="I25" i="9"/>
  <c r="I25" i="7"/>
  <c r="I25" i="5"/>
  <c r="I25" i="12"/>
  <c r="I25" i="10"/>
  <c r="I25" i="4"/>
  <c r="I25" i="11"/>
  <c r="I25" i="8"/>
  <c r="I25" i="3"/>
  <c r="I25" i="6"/>
  <c r="L27" i="5"/>
  <c r="H27" i="5"/>
  <c r="G27" i="5"/>
  <c r="G55" i="12"/>
  <c r="J16" i="6"/>
  <c r="J16" i="7"/>
  <c r="J16" i="9"/>
  <c r="J16" i="10"/>
  <c r="J16" i="12"/>
  <c r="J16" i="11"/>
  <c r="J16" i="3"/>
  <c r="J16" i="4"/>
  <c r="J16" i="8"/>
  <c r="J16" i="2"/>
  <c r="G27" i="2" s="1"/>
  <c r="N169" i="1"/>
  <c r="P39" i="1"/>
  <c r="M161" i="1"/>
  <c r="G161" i="1"/>
  <c r="E161" i="1"/>
  <c r="C161" i="1"/>
  <c r="L28" i="5" l="1"/>
  <c r="H28" i="5"/>
  <c r="G28" i="5"/>
  <c r="L27" i="6"/>
  <c r="L28" i="6" s="1"/>
  <c r="G27" i="6"/>
  <c r="H27" i="6"/>
  <c r="H28" i="6" s="1"/>
  <c r="G27" i="11"/>
  <c r="H27" i="11"/>
  <c r="H28" i="11" s="1"/>
  <c r="L27" i="11"/>
  <c r="L28" i="11" s="1"/>
  <c r="L27" i="12"/>
  <c r="L28" i="12" s="1"/>
  <c r="G27" i="12"/>
  <c r="H27" i="12"/>
  <c r="H28" i="12" s="1"/>
  <c r="G27" i="10"/>
  <c r="H27" i="10"/>
  <c r="H28" i="10" s="1"/>
  <c r="L27" i="10"/>
  <c r="L28" i="10" s="1"/>
  <c r="L27" i="3"/>
  <c r="L28" i="3" s="1"/>
  <c r="G27" i="3"/>
  <c r="H27" i="3"/>
  <c r="H28" i="3" s="1"/>
  <c r="L27" i="9"/>
  <c r="L28" i="9" s="1"/>
  <c r="G27" i="9"/>
  <c r="H27" i="9"/>
  <c r="H28" i="9" s="1"/>
  <c r="L27" i="8"/>
  <c r="L28" i="8" s="1"/>
  <c r="G27" i="8"/>
  <c r="H27" i="8"/>
  <c r="H28" i="8" s="1"/>
  <c r="G27" i="4"/>
  <c r="H27" i="4"/>
  <c r="H28" i="4" s="1"/>
  <c r="L27" i="4"/>
  <c r="L28" i="4" s="1"/>
  <c r="L27" i="2"/>
  <c r="L28" i="2" s="1"/>
  <c r="G28" i="2"/>
  <c r="H27" i="2"/>
  <c r="H28" i="2" s="1"/>
  <c r="G27" i="7"/>
  <c r="L27" i="7"/>
  <c r="L28" i="7" s="1"/>
  <c r="H27" i="7"/>
  <c r="H28" i="7" s="1"/>
  <c r="G55" i="4"/>
  <c r="G55" i="6"/>
  <c r="G55" i="10"/>
  <c r="G55" i="2"/>
  <c r="G55" i="11"/>
  <c r="G55" i="8"/>
  <c r="G55" i="9"/>
  <c r="G55" i="3"/>
  <c r="G55" i="7"/>
  <c r="G55" i="5"/>
  <c r="G44" i="9"/>
  <c r="G44" i="10"/>
  <c r="G44" i="5"/>
  <c r="G44" i="12"/>
  <c r="G44" i="8"/>
  <c r="G44" i="4"/>
  <c r="G44" i="11"/>
  <c r="G44" i="7"/>
  <c r="G44" i="3"/>
  <c r="G44" i="2"/>
  <c r="G44" i="6"/>
  <c r="P40" i="1"/>
  <c r="P51" i="1"/>
  <c r="J69" i="1"/>
  <c r="B69" i="1"/>
  <c r="D69" i="1"/>
  <c r="L69" i="1"/>
  <c r="V77" i="1"/>
  <c r="W77" i="1"/>
  <c r="V154" i="1"/>
  <c r="V149" i="1"/>
  <c r="V140" i="1"/>
  <c r="V131" i="1"/>
  <c r="V122" i="1"/>
  <c r="V113" i="1"/>
  <c r="V104" i="1"/>
  <c r="V96" i="1"/>
  <c r="V86" i="1"/>
  <c r="H168" i="1"/>
  <c r="H166" i="1"/>
  <c r="W154" i="1"/>
  <c r="U154" i="1"/>
  <c r="T154" i="1"/>
  <c r="L154" i="1"/>
  <c r="F154" i="1"/>
  <c r="D154" i="1"/>
  <c r="B154" i="1"/>
  <c r="W149" i="1"/>
  <c r="U149" i="1"/>
  <c r="T149" i="1"/>
  <c r="L149" i="1"/>
  <c r="F149" i="1"/>
  <c r="D149" i="1"/>
  <c r="B149" i="1"/>
  <c r="W140" i="1"/>
  <c r="U140" i="1"/>
  <c r="T140" i="1"/>
  <c r="L140" i="1"/>
  <c r="F140" i="1"/>
  <c r="D140" i="1"/>
  <c r="B140" i="1"/>
  <c r="W131" i="1"/>
  <c r="U131" i="1"/>
  <c r="T131" i="1"/>
  <c r="L131" i="1"/>
  <c r="F131" i="1"/>
  <c r="D131" i="1"/>
  <c r="B131" i="1"/>
  <c r="W122" i="1"/>
  <c r="U122" i="1"/>
  <c r="T122" i="1"/>
  <c r="L122" i="1"/>
  <c r="F122" i="1"/>
  <c r="D122" i="1"/>
  <c r="B122" i="1"/>
  <c r="W113" i="1"/>
  <c r="U113" i="1"/>
  <c r="T113" i="1"/>
  <c r="L113" i="1"/>
  <c r="F113" i="1"/>
  <c r="D113" i="1"/>
  <c r="B113" i="1"/>
  <c r="W104" i="1"/>
  <c r="U104" i="1"/>
  <c r="T104" i="1"/>
  <c r="L104" i="1"/>
  <c r="F104" i="1"/>
  <c r="D104" i="1"/>
  <c r="B104" i="1"/>
  <c r="W96" i="1"/>
  <c r="U96" i="1"/>
  <c r="T96" i="1"/>
  <c r="L96" i="1"/>
  <c r="F96" i="1"/>
  <c r="D96" i="1"/>
  <c r="B96" i="1"/>
  <c r="W86" i="1"/>
  <c r="U86" i="1"/>
  <c r="T86" i="1"/>
  <c r="L86" i="1"/>
  <c r="F86" i="1"/>
  <c r="D86" i="1"/>
  <c r="B86" i="1"/>
  <c r="T77" i="1"/>
  <c r="U77" i="1"/>
  <c r="F77" i="1"/>
  <c r="L77" i="1"/>
  <c r="D77" i="1"/>
  <c r="B77" i="1"/>
  <c r="G28" i="12" l="1"/>
  <c r="G28" i="9"/>
  <c r="G28" i="3"/>
  <c r="G28" i="7"/>
  <c r="G28" i="8"/>
  <c r="G28" i="11"/>
  <c r="G28" i="4"/>
  <c r="G28" i="10"/>
  <c r="G28" i="6"/>
  <c r="J22" i="1"/>
  <c r="L22" i="1"/>
  <c r="Q22" i="1"/>
  <c r="G45" i="10"/>
  <c r="G45" i="9"/>
  <c r="G45" i="12"/>
  <c r="G45" i="8"/>
  <c r="G45" i="4"/>
  <c r="G45" i="11"/>
  <c r="G45" i="7"/>
  <c r="G45" i="3"/>
  <c r="G45" i="2"/>
  <c r="G45" i="6"/>
  <c r="G45" i="5"/>
  <c r="G56" i="11"/>
  <c r="G56" i="10"/>
  <c r="G56" i="6"/>
  <c r="G56" i="3"/>
  <c r="G56" i="2"/>
  <c r="G56" i="9"/>
  <c r="G56" i="5"/>
  <c r="G56" i="7"/>
  <c r="G56" i="12"/>
  <c r="G56" i="8"/>
  <c r="G56" i="4"/>
  <c r="H116" i="1"/>
  <c r="J116" i="1"/>
  <c r="F116" i="1"/>
  <c r="B116" i="1"/>
  <c r="H152" i="1"/>
  <c r="J152" i="1"/>
  <c r="L152" i="1"/>
  <c r="F152" i="1"/>
  <c r="F93" i="1"/>
  <c r="B93" i="1"/>
  <c r="J93" i="1"/>
  <c r="F94" i="1"/>
  <c r="B94" i="1"/>
  <c r="J94" i="1"/>
  <c r="H94" i="1"/>
  <c r="B101" i="1"/>
  <c r="H101" i="1"/>
  <c r="J101" i="1"/>
  <c r="D101" i="1"/>
  <c r="L110" i="1"/>
  <c r="J110" i="1"/>
  <c r="F110" i="1"/>
  <c r="D110" i="1"/>
  <c r="H119" i="1"/>
  <c r="J119" i="1"/>
  <c r="F119" i="1"/>
  <c r="D119" i="1"/>
  <c r="L128" i="1"/>
  <c r="H128" i="1"/>
  <c r="B128" i="1"/>
  <c r="J128" i="1"/>
  <c r="L137" i="1"/>
  <c r="F137" i="1"/>
  <c r="J137" i="1"/>
  <c r="H137" i="1"/>
  <c r="D146" i="1"/>
  <c r="B146" i="1"/>
  <c r="L146" i="1"/>
  <c r="H146" i="1"/>
  <c r="H107" i="1"/>
  <c r="L107" i="1"/>
  <c r="J107" i="1"/>
  <c r="D107" i="1"/>
  <c r="H134" i="1"/>
  <c r="F134" i="1"/>
  <c r="D134" i="1"/>
  <c r="L134" i="1"/>
  <c r="J127" i="1"/>
  <c r="B127" i="1"/>
  <c r="F127" i="1"/>
  <c r="H127" i="1"/>
  <c r="F95" i="1"/>
  <c r="D95" i="1"/>
  <c r="B95" i="1"/>
  <c r="H95" i="1"/>
  <c r="B102" i="1"/>
  <c r="H102" i="1"/>
  <c r="J102" i="1"/>
  <c r="D102" i="1"/>
  <c r="L111" i="1"/>
  <c r="D111" i="1"/>
  <c r="J111" i="1"/>
  <c r="H120" i="1"/>
  <c r="B120" i="1"/>
  <c r="J120" i="1"/>
  <c r="F120" i="1"/>
  <c r="L129" i="1"/>
  <c r="H129" i="1"/>
  <c r="D129" i="1"/>
  <c r="B129" i="1"/>
  <c r="L138" i="1"/>
  <c r="F138" i="1"/>
  <c r="J138" i="1"/>
  <c r="H138" i="1"/>
  <c r="B147" i="1"/>
  <c r="L147" i="1"/>
  <c r="H147" i="1"/>
  <c r="H98" i="1"/>
  <c r="J98" i="1"/>
  <c r="F98" i="1"/>
  <c r="B98" i="1"/>
  <c r="H143" i="1"/>
  <c r="D143" i="1"/>
  <c r="L143" i="1"/>
  <c r="B143" i="1"/>
  <c r="L109" i="1"/>
  <c r="J109" i="1"/>
  <c r="D109" i="1"/>
  <c r="B109" i="1"/>
  <c r="L136" i="1"/>
  <c r="F136" i="1"/>
  <c r="D136" i="1"/>
  <c r="H136" i="1"/>
  <c r="L87" i="1"/>
  <c r="B87" i="1"/>
  <c r="H87" i="1"/>
  <c r="D87" i="1"/>
  <c r="B103" i="1"/>
  <c r="H103" i="1"/>
  <c r="J103" i="1"/>
  <c r="D103" i="1"/>
  <c r="D112" i="1"/>
  <c r="J112" i="1"/>
  <c r="F112" i="1"/>
  <c r="L112" i="1"/>
  <c r="J121" i="1"/>
  <c r="F121" i="1"/>
  <c r="H121" i="1"/>
  <c r="D121" i="1"/>
  <c r="L130" i="1"/>
  <c r="H130" i="1"/>
  <c r="D130" i="1"/>
  <c r="B130" i="1"/>
  <c r="F139" i="1"/>
  <c r="J139" i="1"/>
  <c r="H139" i="1"/>
  <c r="D139" i="1"/>
  <c r="B148" i="1"/>
  <c r="L148" i="1"/>
  <c r="H148" i="1"/>
  <c r="F100" i="1"/>
  <c r="D100" i="1"/>
  <c r="J100" i="1"/>
  <c r="H100" i="1"/>
  <c r="D118" i="1"/>
  <c r="B118" i="1"/>
  <c r="J118" i="1"/>
  <c r="F118" i="1"/>
  <c r="D145" i="1"/>
  <c r="J145" i="1"/>
  <c r="B145" i="1"/>
  <c r="H145" i="1"/>
  <c r="F89" i="1"/>
  <c r="J89" i="1"/>
  <c r="D89" i="1"/>
  <c r="B89" i="1"/>
  <c r="F88" i="1"/>
  <c r="J88" i="1"/>
  <c r="D88" i="1"/>
  <c r="B88" i="1"/>
  <c r="D105" i="1"/>
  <c r="B105" i="1"/>
  <c r="F105" i="1"/>
  <c r="L105" i="1"/>
  <c r="J114" i="1"/>
  <c r="F114" i="1"/>
  <c r="H114" i="1"/>
  <c r="L114" i="1"/>
  <c r="H123" i="1"/>
  <c r="B123" i="1"/>
  <c r="L123" i="1"/>
  <c r="D123" i="1"/>
  <c r="F132" i="1"/>
  <c r="B132" i="1"/>
  <c r="L132" i="1"/>
  <c r="J132" i="1"/>
  <c r="D141" i="1"/>
  <c r="L141" i="1"/>
  <c r="B141" i="1"/>
  <c r="H141" i="1"/>
  <c r="F150" i="1"/>
  <c r="J150" i="1"/>
  <c r="H150" i="1"/>
  <c r="D150" i="1"/>
  <c r="F90" i="1"/>
  <c r="J90" i="1"/>
  <c r="D90" i="1"/>
  <c r="B90" i="1"/>
  <c r="H97" i="1"/>
  <c r="D97" i="1"/>
  <c r="J97" i="1"/>
  <c r="L97" i="1"/>
  <c r="B106" i="1"/>
  <c r="J106" i="1"/>
  <c r="D106" i="1"/>
  <c r="L106" i="1"/>
  <c r="J115" i="1"/>
  <c r="F115" i="1"/>
  <c r="H115" i="1"/>
  <c r="B115" i="1"/>
  <c r="B124" i="1"/>
  <c r="H124" i="1"/>
  <c r="L124" i="1"/>
  <c r="D124" i="1"/>
  <c r="D133" i="1"/>
  <c r="B133" i="1"/>
  <c r="F133" i="1"/>
  <c r="L133" i="1"/>
  <c r="B142" i="1"/>
  <c r="H142" i="1"/>
  <c r="F142" i="1"/>
  <c r="D142" i="1"/>
  <c r="J151" i="1"/>
  <c r="H151" i="1"/>
  <c r="D151" i="1"/>
  <c r="F151" i="1"/>
  <c r="D91" i="1"/>
  <c r="B91" i="1"/>
  <c r="H91" i="1"/>
  <c r="F91" i="1"/>
  <c r="L125" i="1"/>
  <c r="D125" i="1"/>
  <c r="B125" i="1"/>
  <c r="H125" i="1"/>
  <c r="B92" i="1"/>
  <c r="J92" i="1"/>
  <c r="F92" i="1"/>
  <c r="J99" i="1"/>
  <c r="D99" i="1"/>
  <c r="H99" i="1"/>
  <c r="B99" i="1"/>
  <c r="B108" i="1"/>
  <c r="L108" i="1"/>
  <c r="J108" i="1"/>
  <c r="D108" i="1"/>
  <c r="H117" i="1"/>
  <c r="B117" i="1"/>
  <c r="J117" i="1"/>
  <c r="F117" i="1"/>
  <c r="D126" i="1"/>
  <c r="J126" i="1"/>
  <c r="H126" i="1"/>
  <c r="B126" i="1"/>
  <c r="L135" i="1"/>
  <c r="H135" i="1"/>
  <c r="F135" i="1"/>
  <c r="D135" i="1"/>
  <c r="H144" i="1"/>
  <c r="B144" i="1"/>
  <c r="D144" i="1"/>
  <c r="L144" i="1"/>
  <c r="H153" i="1"/>
  <c r="D153" i="1"/>
  <c r="J153" i="1"/>
  <c r="F153" i="1"/>
  <c r="F75" i="1"/>
  <c r="F85" i="1"/>
  <c r="J85" i="1"/>
  <c r="L85" i="1"/>
  <c r="B85" i="1"/>
  <c r="H82" i="1"/>
  <c r="J82" i="1"/>
  <c r="F82" i="1"/>
  <c r="B82" i="1"/>
  <c r="J84" i="1"/>
  <c r="L84" i="1"/>
  <c r="F84" i="1"/>
  <c r="H84" i="1"/>
  <c r="J78" i="1"/>
  <c r="B78" i="1"/>
  <c r="D78" i="1"/>
  <c r="F78" i="1"/>
  <c r="B83" i="1"/>
  <c r="F83" i="1"/>
  <c r="H83" i="1"/>
  <c r="B79" i="1"/>
  <c r="F79" i="1"/>
  <c r="J79" i="1"/>
  <c r="H79" i="1"/>
  <c r="F80" i="1"/>
  <c r="D80" i="1"/>
  <c r="H80" i="1"/>
  <c r="J80" i="1"/>
  <c r="L74" i="1"/>
  <c r="J74" i="1"/>
  <c r="B74" i="1"/>
  <c r="J71" i="1"/>
  <c r="L71" i="1"/>
  <c r="B71" i="1"/>
  <c r="D76" i="1"/>
  <c r="H76" i="1"/>
  <c r="L76" i="1"/>
  <c r="L73" i="1"/>
  <c r="B73" i="1"/>
  <c r="D73" i="1"/>
  <c r="H73" i="1"/>
  <c r="L75" i="1"/>
  <c r="L70" i="1"/>
  <c r="J70" i="1"/>
  <c r="D70" i="1"/>
  <c r="H70" i="1"/>
  <c r="D74" i="1"/>
  <c r="D75" i="1"/>
  <c r="B75" i="1"/>
  <c r="B76" i="1"/>
  <c r="H167" i="1"/>
  <c r="AB158" i="1" l="1"/>
  <c r="H161" i="1"/>
  <c r="AB155" i="1"/>
  <c r="AB156" i="1"/>
  <c r="AB157" i="1"/>
  <c r="AB159" i="1"/>
  <c r="AB160" i="1"/>
  <c r="J161" i="1"/>
  <c r="B161" i="1"/>
  <c r="L161" i="1"/>
  <c r="Q21" i="1" s="1"/>
  <c r="Q23" i="1" s="1"/>
  <c r="F161" i="1"/>
  <c r="D161" i="1"/>
  <c r="L21" i="1" s="1"/>
  <c r="N21" i="1" l="1"/>
  <c r="O21" i="1"/>
  <c r="L23" i="1"/>
  <c r="AB161" i="1"/>
  <c r="P21" i="1"/>
  <c r="K26" i="3" l="1"/>
  <c r="K26" i="6"/>
  <c r="K26" i="7"/>
  <c r="K26" i="12"/>
  <c r="K27" i="12" s="1"/>
  <c r="K28" i="12" s="1"/>
  <c r="K26" i="8"/>
  <c r="K27" i="8" s="1"/>
  <c r="K28" i="8" s="1"/>
  <c r="K26" i="2"/>
  <c r="K27" i="2" s="1"/>
  <c r="K28" i="2" s="1"/>
  <c r="K26" i="5"/>
  <c r="K27" i="5" s="1"/>
  <c r="K26" i="10"/>
  <c r="K27" i="10" s="1"/>
  <c r="K28" i="10" s="1"/>
  <c r="K26" i="11"/>
  <c r="K27" i="11" s="1"/>
  <c r="K28" i="11" s="1"/>
  <c r="K26" i="9"/>
  <c r="K26" i="4"/>
  <c r="J27" i="12"/>
  <c r="J28" i="12" s="1"/>
  <c r="I27" i="2"/>
  <c r="J27" i="5"/>
  <c r="I27" i="5"/>
  <c r="K27" i="7"/>
  <c r="K28" i="7" s="1"/>
  <c r="J27" i="7"/>
  <c r="J28" i="7" s="1"/>
  <c r="I27" i="4"/>
  <c r="J27" i="9"/>
  <c r="J28" i="9" s="1"/>
  <c r="I27" i="9"/>
  <c r="I27" i="10"/>
  <c r="K27" i="9"/>
  <c r="K28" i="9" s="1"/>
  <c r="I27" i="7"/>
  <c r="J27" i="3"/>
  <c r="J28" i="3" s="1"/>
  <c r="I27" i="3"/>
  <c r="I27" i="12"/>
  <c r="K27" i="3"/>
  <c r="K28" i="3" s="1"/>
  <c r="I27" i="11"/>
  <c r="J27" i="8"/>
  <c r="J28" i="8" s="1"/>
  <c r="J27" i="10"/>
  <c r="J28" i="10" s="1"/>
  <c r="J27" i="2"/>
  <c r="J28" i="2" s="1"/>
  <c r="I27" i="6"/>
  <c r="K27" i="6"/>
  <c r="K28" i="6" s="1"/>
  <c r="J27" i="11"/>
  <c r="J28" i="11" s="1"/>
  <c r="K27" i="4"/>
  <c r="J27" i="4"/>
  <c r="J28" i="4" s="1"/>
  <c r="J27" i="6"/>
  <c r="J28" i="6" s="1"/>
  <c r="I27" i="8"/>
  <c r="P46" i="1"/>
  <c r="P35" i="1"/>
  <c r="J23" i="1"/>
  <c r="R34" i="1"/>
  <c r="K28" i="5" l="1"/>
  <c r="I28" i="3"/>
  <c r="G41" i="3"/>
  <c r="G52" i="3"/>
  <c r="I28" i="4"/>
  <c r="G52" i="4"/>
  <c r="G41" i="4"/>
  <c r="I28" i="6"/>
  <c r="G41" i="6"/>
  <c r="G52" i="6"/>
  <c r="I28" i="5"/>
  <c r="G52" i="5"/>
  <c r="G41" i="5"/>
  <c r="I28" i="8"/>
  <c r="G41" i="8"/>
  <c r="G52" i="8"/>
  <c r="I28" i="7"/>
  <c r="G52" i="7"/>
  <c r="G41" i="7"/>
  <c r="I28" i="10"/>
  <c r="G41" i="10"/>
  <c r="G52" i="10"/>
  <c r="P22" i="1"/>
  <c r="P23" i="1" s="1"/>
  <c r="I28" i="11"/>
  <c r="G52" i="11"/>
  <c r="G41" i="11"/>
  <c r="I28" i="9"/>
  <c r="G52" i="9"/>
  <c r="G41" i="9"/>
  <c r="I28" i="2"/>
  <c r="G52" i="2"/>
  <c r="G41" i="2"/>
  <c r="I28" i="12"/>
  <c r="G52" i="12"/>
  <c r="G41" i="12"/>
  <c r="K28" i="4"/>
  <c r="N22" i="1"/>
  <c r="N23" i="1" s="1"/>
  <c r="J28" i="5"/>
  <c r="O22" i="1"/>
  <c r="G40" i="6"/>
  <c r="G40" i="9"/>
  <c r="G40" i="5"/>
  <c r="G40" i="8"/>
  <c r="G40" i="4"/>
  <c r="G40" i="2"/>
  <c r="G40" i="3"/>
  <c r="G40" i="7"/>
  <c r="G40" i="12"/>
  <c r="G40" i="11"/>
  <c r="G40" i="10"/>
  <c r="G51" i="6"/>
  <c r="G51" i="9"/>
  <c r="G51" i="5"/>
  <c r="G51" i="8"/>
  <c r="G51" i="3"/>
  <c r="G51" i="7"/>
  <c r="G51" i="12"/>
  <c r="G51" i="11"/>
  <c r="G51" i="10"/>
  <c r="G51" i="2"/>
  <c r="G51" i="4"/>
  <c r="P47" i="1" l="1"/>
  <c r="P36" i="1"/>
  <c r="O23" i="1"/>
  <c r="P52" i="1" l="1"/>
  <c r="P41" i="1"/>
  <c r="G46" i="3" l="1"/>
  <c r="G46" i="2"/>
  <c r="G46" i="12"/>
  <c r="G46" i="11"/>
  <c r="G46" i="6"/>
  <c r="G46" i="9"/>
  <c r="P42" i="1"/>
  <c r="G46" i="8"/>
  <c r="G46" i="4"/>
  <c r="G46" i="7"/>
  <c r="G46" i="5"/>
  <c r="G46" i="10"/>
  <c r="G57" i="6"/>
  <c r="G57" i="9"/>
  <c r="G57" i="5"/>
  <c r="G57" i="12"/>
  <c r="G57" i="2"/>
  <c r="G57" i="3"/>
  <c r="G57" i="11"/>
  <c r="G57" i="7"/>
  <c r="P53" i="1"/>
  <c r="G57" i="8"/>
  <c r="G57" i="10"/>
  <c r="G57" i="4"/>
  <c r="G47" i="7" l="1"/>
  <c r="G47" i="8"/>
  <c r="G47" i="6"/>
  <c r="G47" i="4"/>
  <c r="G47" i="3"/>
  <c r="G47" i="12"/>
  <c r="G47" i="9"/>
  <c r="G47" i="2"/>
  <c r="G47" i="11"/>
  <c r="G47" i="5"/>
  <c r="G47" i="10"/>
  <c r="G58" i="5"/>
  <c r="G58" i="4"/>
  <c r="P61" i="1"/>
  <c r="G58" i="7"/>
  <c r="G58" i="10"/>
  <c r="G58" i="8"/>
  <c r="G58" i="2"/>
  <c r="G58" i="12"/>
  <c r="G58" i="11"/>
  <c r="G58" i="9"/>
  <c r="G58" i="3"/>
  <c r="G58" i="6"/>
  <c r="G66" i="12" l="1"/>
  <c r="G66" i="6"/>
  <c r="G66" i="11"/>
  <c r="G66" i="3"/>
  <c r="G66" i="10"/>
  <c r="G66" i="9"/>
  <c r="G66" i="7"/>
  <c r="G66" i="5"/>
  <c r="G66" i="8"/>
  <c r="G66" i="2"/>
  <c r="G66" i="4"/>
</calcChain>
</file>

<file path=xl/sharedStrings.xml><?xml version="1.0" encoding="utf-8"?>
<sst xmlns="http://schemas.openxmlformats.org/spreadsheetml/2006/main" count="2912" uniqueCount="328">
  <si>
    <t>Alinor</t>
  </si>
  <si>
    <t>Dusk</t>
  </si>
  <si>
    <t>Shimmerene</t>
  </si>
  <si>
    <t>Lillandril</t>
  </si>
  <si>
    <t>Havrebrume</t>
  </si>
  <si>
    <t>Primeterre</t>
  </si>
  <si>
    <t>Gardeciel</t>
  </si>
  <si>
    <t>Nourriture</t>
  </si>
  <si>
    <t>Bois</t>
  </si>
  <si>
    <t>Fer</t>
  </si>
  <si>
    <t>Solitude</t>
  </si>
  <si>
    <t>Markarth</t>
  </si>
  <si>
    <t>Épervine</t>
  </si>
  <si>
    <t>Faillaise</t>
  </si>
  <si>
    <t>Blancherive</t>
  </si>
  <si>
    <t>Vendeaume</t>
  </si>
  <si>
    <t>Fordhiver</t>
  </si>
  <si>
    <t>Aubétoile</t>
  </si>
  <si>
    <t>Archipel de l'Automne</t>
  </si>
  <si>
    <t>Bordeciel</t>
  </si>
  <si>
    <t>Cyrodiil</t>
  </si>
  <si>
    <t>Cité Impériale</t>
  </si>
  <si>
    <t>Bruma</t>
  </si>
  <si>
    <t>Cheydinhal</t>
  </si>
  <si>
    <t>Chorrol</t>
  </si>
  <si>
    <t>Skingrad</t>
  </si>
  <si>
    <t>Anvil</t>
  </si>
  <si>
    <t>Bravil</t>
  </si>
  <si>
    <t>Leyawiin</t>
  </si>
  <si>
    <t>Elsweyr</t>
  </si>
  <si>
    <t>Torval</t>
  </si>
  <si>
    <t>Corinthe</t>
  </si>
  <si>
    <t>Orcrest</t>
  </si>
  <si>
    <t>Dune</t>
  </si>
  <si>
    <t>Fort-de-Rive</t>
  </si>
  <si>
    <t>Rimmen</t>
  </si>
  <si>
    <t>Hauteroche</t>
  </si>
  <si>
    <t>Camlorn</t>
  </si>
  <si>
    <t>Sharnhelm</t>
  </si>
  <si>
    <t>Pointenord</t>
  </si>
  <si>
    <t>Refuge</t>
  </si>
  <si>
    <t>Evermor</t>
  </si>
  <si>
    <t>Farrun</t>
  </si>
  <si>
    <t>Lenclume</t>
  </si>
  <si>
    <t>Sentinelle</t>
  </si>
  <si>
    <t>Helgathe</t>
  </si>
  <si>
    <t>Gilane</t>
  </si>
  <si>
    <t>Taneth</t>
  </si>
  <si>
    <t>Rihad</t>
  </si>
  <si>
    <t>Elinhir</t>
  </si>
  <si>
    <t>Skaven</t>
  </si>
  <si>
    <t>Kvatch</t>
  </si>
  <si>
    <t>Marais Noir</t>
  </si>
  <si>
    <t>Rosenoire</t>
  </si>
  <si>
    <t>Havrelâme</t>
  </si>
  <si>
    <t>Gideon</t>
  </si>
  <si>
    <t>Fort-Tempête</t>
  </si>
  <si>
    <t>Thorn</t>
  </si>
  <si>
    <t>Helstrom</t>
  </si>
  <si>
    <t>Archon</t>
  </si>
  <si>
    <t>Lilmoth</t>
  </si>
  <si>
    <t>Morrowind</t>
  </si>
  <si>
    <t>Longsanglot</t>
  </si>
  <si>
    <t>Narsis</t>
  </si>
  <si>
    <t>Larme</t>
  </si>
  <si>
    <t>Coeurébène</t>
  </si>
  <si>
    <t>Nécrom</t>
  </si>
  <si>
    <t>Balmora</t>
  </si>
  <si>
    <t>Ald'ruhn</t>
  </si>
  <si>
    <t>Sombrejour</t>
  </si>
  <si>
    <t>Val-Boisé</t>
  </si>
  <si>
    <t>Falinesti</t>
  </si>
  <si>
    <t>Arenthia</t>
  </si>
  <si>
    <t>Silvenar</t>
  </si>
  <si>
    <t>Vieilracine</t>
  </si>
  <si>
    <t>Havre</t>
  </si>
  <si>
    <t>Pointesud</t>
  </si>
  <si>
    <t>Coeurvert</t>
  </si>
  <si>
    <t>Boisfoyer</t>
  </si>
  <si>
    <t>Solstheim</t>
  </si>
  <si>
    <t>Corberoche</t>
  </si>
  <si>
    <t>Skaal</t>
  </si>
  <si>
    <t>Thirsk</t>
  </si>
  <si>
    <t>Jéhanna</t>
  </si>
  <si>
    <t>Gemmes</t>
  </si>
  <si>
    <t>Orsinium</t>
  </si>
  <si>
    <t>Strik</t>
  </si>
  <si>
    <t>Stros M'Kai</t>
  </si>
  <si>
    <t>Vivec</t>
  </si>
  <si>
    <t>Sadrith Mora</t>
  </si>
  <si>
    <t>Dagon Fel</t>
  </si>
  <si>
    <t>Port Telvannis</t>
  </si>
  <si>
    <t>Nom de votre province :</t>
  </si>
  <si>
    <t>Mise à jour :</t>
  </si>
  <si>
    <t>Province</t>
  </si>
  <si>
    <t>Pénalité</t>
  </si>
  <si>
    <r>
      <t xml:space="preserve">de Siège </t>
    </r>
    <r>
      <rPr>
        <sz val="11"/>
        <color rgb="FFFF0000"/>
        <rFont val="Calibri"/>
        <family val="2"/>
        <scheme val="minor"/>
      </rPr>
      <t>*</t>
    </r>
  </si>
  <si>
    <t>Test villes possedées</t>
  </si>
  <si>
    <t>Villes</t>
  </si>
  <si>
    <t>En Siège</t>
  </si>
  <si>
    <t>Somme totale</t>
  </si>
  <si>
    <t>Facteur possesion</t>
  </si>
  <si>
    <t>Impôts</t>
  </si>
  <si>
    <t>Touchés</t>
  </si>
  <si>
    <r>
      <t>Colonies</t>
    </r>
    <r>
      <rPr>
        <b/>
        <sz val="11"/>
        <color rgb="FF008000"/>
        <rFont val="Calibri"/>
        <family val="2"/>
        <scheme val="minor"/>
      </rPr>
      <t>*</t>
    </r>
  </si>
  <si>
    <t>Colonies</t>
  </si>
  <si>
    <t>Villes &amp; Colonies</t>
  </si>
  <si>
    <t>Ne modifier que les cases en jaune !!</t>
  </si>
  <si>
    <t>Ferme</t>
  </si>
  <si>
    <t>Scierie</t>
  </si>
  <si>
    <t>Mine</t>
  </si>
  <si>
    <t>Productivité des matières premières</t>
  </si>
  <si>
    <t>Comptoir</t>
  </si>
  <si>
    <t>Marché</t>
  </si>
  <si>
    <t>Banque</t>
  </si>
  <si>
    <t>Limite de bâtiments</t>
  </si>
  <si>
    <t>Guilde Mages</t>
  </si>
  <si>
    <t>Auto-calculé</t>
  </si>
  <si>
    <t>À renseigner</t>
  </si>
  <si>
    <t>Aide =&gt;</t>
  </si>
  <si>
    <t>Indiquez par "Oui" ou "Non" si la structure est présente, en respectant la limite de bâtiments</t>
  </si>
  <si>
    <t>Cavalerie</t>
  </si>
  <si>
    <t>Élite</t>
  </si>
  <si>
    <t>-</t>
  </si>
  <si>
    <t>Palais</t>
  </si>
  <si>
    <t>Bâtiments de production présents</t>
  </si>
  <si>
    <t>Collecteurs de ressources présents</t>
  </si>
  <si>
    <t>Non</t>
  </si>
  <si>
    <t>Nourriture utilisée pour la paye des troupes :</t>
  </si>
  <si>
    <t>Votre production de cette année :</t>
  </si>
  <si>
    <t>Impôts à toucher cette année :</t>
  </si>
  <si>
    <t>septims</t>
  </si>
  <si>
    <t>Salaire de base pour les troupes :</t>
  </si>
  <si>
    <t>Septims à payer pour les troupes :</t>
  </si>
  <si>
    <t>Rentrée fiscale totale après paye des troupes :</t>
  </si>
  <si>
    <t>chargements)</t>
  </si>
  <si>
    <t>Avec matière première</t>
  </si>
  <si>
    <t>Sans matière première</t>
  </si>
  <si>
    <t>2 500 septims + 2 Gemmes</t>
  </si>
  <si>
    <t>2 000 septims + 2 Fer</t>
  </si>
  <si>
    <t>5 000 septims</t>
  </si>
  <si>
    <t>6 000 septims</t>
  </si>
  <si>
    <t>Prix des troupes :</t>
  </si>
  <si>
    <t>Trésorerie au 31 Soirétoile de l'année précédente :</t>
  </si>
  <si>
    <t>Trésorerie au 1er Primétoile de cette année :</t>
  </si>
  <si>
    <t>4E 213</t>
  </si>
  <si>
    <t>4E 214</t>
  </si>
  <si>
    <t>4E 215</t>
  </si>
  <si>
    <t>4E 216</t>
  </si>
  <si>
    <t>4E 217</t>
  </si>
  <si>
    <t>4E 218</t>
  </si>
  <si>
    <t>4E 219</t>
  </si>
  <si>
    <t>4E 221</t>
  </si>
  <si>
    <t>4E 220</t>
  </si>
  <si>
    <t>4E 222</t>
  </si>
  <si>
    <t>4E 223</t>
  </si>
  <si>
    <t>4E 224</t>
  </si>
  <si>
    <t>4E 225</t>
  </si>
  <si>
    <t>4E 226</t>
  </si>
  <si>
    <t>4E 227</t>
  </si>
  <si>
    <t>4E 228</t>
  </si>
  <si>
    <t>4E 229</t>
  </si>
  <si>
    <t>4E 230</t>
  </si>
  <si>
    <t>4E 231</t>
  </si>
  <si>
    <t>4E 232</t>
  </si>
  <si>
    <t>4E 233</t>
  </si>
  <si>
    <t>4E 234</t>
  </si>
  <si>
    <t>4E 235</t>
  </si>
  <si>
    <t>4E 236</t>
  </si>
  <si>
    <t>Cuir</t>
  </si>
  <si>
    <t>Pierre</t>
  </si>
  <si>
    <t>Tannerie</t>
  </si>
  <si>
    <t>Carrière</t>
  </si>
  <si>
    <t>Infanterie</t>
  </si>
  <si>
    <t>Unités de Siège</t>
  </si>
  <si>
    <t>2 000 septims + 1 Pierre + 1 Bois</t>
  </si>
  <si>
    <t>2 000 septims + 2 Cuir</t>
  </si>
  <si>
    <t>Bateau</t>
  </si>
  <si>
    <t>1 Bois</t>
  </si>
  <si>
    <t>Nombre de bataillons hors-combat au nouvel-an :</t>
  </si>
  <si>
    <t xml:space="preserve">(Maximum : </t>
  </si>
  <si>
    <t>+</t>
  </si>
  <si>
    <t>Multiplicateur d'impôt obtenu :</t>
  </si>
  <si>
    <t>* Si pénalité de siège &gt; 100%, mettre 100 %.</t>
  </si>
  <si>
    <t>Oui</t>
  </si>
  <si>
    <t>Solandie</t>
  </si>
  <si>
    <t>Daguefilante</t>
  </si>
  <si>
    <t>Senchelle</t>
  </si>
  <si>
    <t>En violet la prod réelle, sur fond gris la prod maximale possible de la ville</t>
  </si>
  <si>
    <t>Étoile du Dragon</t>
  </si>
  <si>
    <t>Consommation de l'année pour vos recrutements :</t>
  </si>
  <si>
    <t>bataillons</t>
  </si>
  <si>
    <t>Réduction salaire des troupes (bonus nourriture) :</t>
  </si>
  <si>
    <t>Stock de vos marchandises en fin d'année :</t>
  </si>
  <si>
    <t>Conso de pierre pour les bâtiments ou les murs :</t>
  </si>
  <si>
    <t>Plus petite valeur :</t>
  </si>
  <si>
    <t>(Max :</t>
  </si>
  <si>
    <t>Arrondi sup 5 bataillons</t>
  </si>
  <si>
    <t>Arrondi sup 15 bataillons</t>
  </si>
  <si>
    <t>Calcul 100% réduc troupes</t>
  </si>
  <si>
    <t>Calcul 50% réduc troupes :</t>
  </si>
  <si>
    <t>Plus grande valeur :</t>
  </si>
  <si>
    <t>Calculateur de ressources du nouvel-an</t>
  </si>
  <si>
    <t>Plus petite valeur ville :</t>
  </si>
  <si>
    <t>Assiégée</t>
  </si>
  <si>
    <r>
      <t xml:space="preserve">? </t>
    </r>
    <r>
      <rPr>
        <sz val="11"/>
        <color rgb="FFFF0000"/>
        <rFont val="Calibri"/>
        <family val="2"/>
        <scheme val="minor"/>
      </rPr>
      <t>*</t>
    </r>
  </si>
  <si>
    <t>Province à renseigner</t>
  </si>
  <si>
    <t>&lt;= Indispensable (menu déroulant)</t>
  </si>
  <si>
    <t>Arrivée de marchandises durant l'année passée :</t>
  </si>
  <si>
    <t>Sorties de marchandises durant l'année passée :</t>
  </si>
  <si>
    <t>Stocks du nouvel-an de l'année passée :</t>
  </si>
  <si>
    <t>4E 237</t>
  </si>
  <si>
    <t>4E 238</t>
  </si>
  <si>
    <t>&lt;= Ce que vous avez utilisé pour acheter des troupes au tarif réduit en cours d'année.</t>
  </si>
  <si>
    <t>&lt;= Mettre le total de vos sorties de marchandises en cours d'année : exports, cadeaux données, pertes…</t>
  </si>
  <si>
    <t>&lt;= Mettre le total de vos rentrées de marchandises en cours d'année : imports, cadeaux reçus, gains…</t>
  </si>
  <si>
    <t>&lt;= Total de pierre utilisé en cours d'année pour des bâtiments ou la réparation des murs.</t>
  </si>
  <si>
    <t>Stocks pour le nouvel-an de la nouvelle année :</t>
  </si>
  <si>
    <t>Conso de votre province pour la nouvelle année :</t>
  </si>
  <si>
    <t>Recrutements :</t>
  </si>
  <si>
    <t>Constructions :</t>
  </si>
  <si>
    <t>&lt;= Coût des marchandises achetées en cours d'année (mettre le chiffre en positif).</t>
  </si>
  <si>
    <t>&lt;= Mettre 0 si première année de règne avec RAZ.</t>
  </si>
  <si>
    <t>&lt;= Butin de guerre récolté en cours d'année</t>
  </si>
  <si>
    <t>&lt;= Argent reçu des autres provinces, du journalisme ou offert par le MJ</t>
  </si>
  <si>
    <t>&lt;= Argent offert aux autres Seigneuries ou perdu à cause d'un Event MJ (chiffre en positif, idem).</t>
  </si>
  <si>
    <t>&lt;= Argent utilisé en cours d'année pour des recrutements ou des bateaux (idem).</t>
  </si>
  <si>
    <t>&lt;= Argent dépensé en cours d'année pour construire des bâtiments ou réparer des murs (idem).</t>
  </si>
  <si>
    <t>&lt;= Revenus obtenus grâce aux marchandises vendues en cours d'année</t>
  </si>
  <si>
    <t>Cadeaux données / pertes d'Events MJ :</t>
  </si>
  <si>
    <t>Calcul 51-99% réduc trp.</t>
  </si>
  <si>
    <t>&lt;= Si tombe à 0, obligation d'offrir de la nourriture à votre armée jusqu'à ce que ce soit &gt; 0 ou au maxi possible</t>
  </si>
  <si>
    <t>Trésorerie au 1er Primétoile de l'année passée :</t>
  </si>
  <si>
    <t>Stocks maximum / marchandises :</t>
  </si>
  <si>
    <t>dans vos entrepôts</t>
  </si>
  <si>
    <t>Surplus automatiquement vendus à Akavir :</t>
  </si>
  <si>
    <t>Vente du trop-plein de marchandises à Akavir :</t>
  </si>
  <si>
    <t>&lt;= Tout dépassement de votre capacité de stockage au nouvel-an est automatiquement vendu à Akavir pour 250 septims / marchandise</t>
  </si>
  <si>
    <t>Importations :</t>
  </si>
  <si>
    <t>Butin de guerre :</t>
  </si>
  <si>
    <t>Dons reçus / journalisme / gains d'Events MJ :</t>
  </si>
  <si>
    <t>Exportations :</t>
  </si>
  <si>
    <t>Répa. murs 5 % / round</t>
  </si>
  <si>
    <t>Répa. murs 10 % / round</t>
  </si>
  <si>
    <t>Répa. murs 20 % / round</t>
  </si>
  <si>
    <t>&lt;= Mettre vos stocks en début de l'année dernière.</t>
  </si>
  <si>
    <t>Chantier</t>
  </si>
  <si>
    <t>Temple</t>
  </si>
  <si>
    <t>Bordel</t>
  </si>
  <si>
    <t>Auberge</t>
  </si>
  <si>
    <t>Noms alternatifs :</t>
  </si>
  <si>
    <t>Percepteur</t>
  </si>
  <si>
    <t>Port</t>
  </si>
  <si>
    <t>Grande Foire</t>
  </si>
  <si>
    <t>Tableau de production :</t>
  </si>
  <si>
    <t xml:space="preserve">Villes possédées : </t>
  </si>
  <si>
    <t xml:space="preserve"> villes)</t>
  </si>
  <si>
    <t xml:space="preserve">Équivalent en villes que vous souhaitez approvisionner / ressources : </t>
  </si>
  <si>
    <t>Ville possédée</t>
  </si>
  <si>
    <r>
      <t xml:space="preserve">par la province de ? </t>
    </r>
    <r>
      <rPr>
        <sz val="11"/>
        <color rgb="FFFF0000"/>
        <rFont val="Calibri"/>
        <family val="2"/>
        <scheme val="minor"/>
      </rPr>
      <t>*</t>
    </r>
  </si>
  <si>
    <t>1 Pierre / tranche de 4 rounds</t>
  </si>
  <si>
    <t>1 Pierre / round</t>
  </si>
  <si>
    <t>3 Pierres / round</t>
  </si>
  <si>
    <t>&lt;= Pour de la Comptabilité du 1er Primétoile de l'année en cours jusqu'au 31 Soirétoile (compabilité en cours d'année)</t>
  </si>
  <si>
    <t>Trésorerie actuelle :</t>
  </si>
  <si>
    <t>&lt;= Pour de la Comptabilité du 1er Primétoile de l'année précédent au 1er Primétoile de l'année actuelle (archivage)</t>
  </si>
  <si>
    <t>&lt;= Génère un bonus d'impôts</t>
  </si>
  <si>
    <t>2 500 septims</t>
  </si>
  <si>
    <t>&lt;= Pierre obligatoire</t>
  </si>
  <si>
    <t>Prix du Marché</t>
  </si>
  <si>
    <t>Calculateur de Ressouces V14.3</t>
  </si>
  <si>
    <t>Onglet - Archipel de l'Automne</t>
  </si>
  <si>
    <t>d'Akavir si défaut</t>
  </si>
  <si>
    <r>
      <rPr>
        <b/>
        <sz val="11"/>
        <color theme="1"/>
        <rFont val="Calibri"/>
        <family val="2"/>
        <scheme val="minor"/>
      </rPr>
      <t>Étape 3 :</t>
    </r>
    <r>
      <rPr>
        <sz val="11"/>
        <color theme="1"/>
        <rFont val="Calibri"/>
        <family val="2"/>
        <scheme val="minor"/>
      </rPr>
      <t xml:space="preserve"> Mettez ici dans les cases jaunes vos stocks de marchandises et vos rentrées / sorties d'argent de l'année précédente (premier tableau de finances) ou de l'année en cours (second tableau des finances)</t>
    </r>
  </si>
  <si>
    <r>
      <rPr>
        <b/>
        <sz val="11"/>
        <color theme="1"/>
        <rFont val="Calibri"/>
        <family val="2"/>
        <scheme val="minor"/>
      </rPr>
      <t>Étape 4 :</t>
    </r>
    <r>
      <rPr>
        <sz val="11"/>
        <color theme="1"/>
        <rFont val="Calibri"/>
        <family val="2"/>
        <scheme val="minor"/>
      </rPr>
      <t xml:space="preserve"> Revenez à l'onglet "Ressources" et vos tableaux de finances et de ressources correspondront à votre économie réelle. ;) Ainsi, d'une année sur l'autre, il vous suffira de mettre à jour vos bâtiments dans l'onglet "Ressouces", puis de revenir ici pour mettre à jour vos chiffres.</t>
    </r>
  </si>
  <si>
    <r>
      <rPr>
        <b/>
        <sz val="11"/>
        <color theme="1"/>
        <rFont val="Calibri"/>
        <family val="2"/>
        <scheme val="minor"/>
      </rPr>
      <t>Étape 1 :</t>
    </r>
    <r>
      <rPr>
        <sz val="11"/>
        <color theme="1"/>
        <rFont val="Calibri"/>
        <family val="2"/>
        <scheme val="minor"/>
      </rPr>
      <t xml:space="preserve"> Reportez vos villes possédées ainsi que vos bâtiments et éventuelles pénalités de siège dans le très grand tableau de l'onglet Ressources.</t>
    </r>
  </si>
  <si>
    <t>Onglet - Val-Boisé</t>
  </si>
  <si>
    <t>&lt;= Doit correspondre à ce qui est sélectionné dans l'onglet "Ressources"</t>
  </si>
  <si>
    <t>Onglet - Bordeciel</t>
  </si>
  <si>
    <t>Onglet - Solstheim</t>
  </si>
  <si>
    <t>Onglet - Orsinium</t>
  </si>
  <si>
    <t>Onglet - Morrowind</t>
  </si>
  <si>
    <t>Onglet - Marais Noir</t>
  </si>
  <si>
    <t>Onglet - Lenclume</t>
  </si>
  <si>
    <t>Onglet - Hauteroche</t>
  </si>
  <si>
    <t>Onglet - Elsweyr</t>
  </si>
  <si>
    <t>Onglet - Cyrodiil</t>
  </si>
  <si>
    <r>
      <rPr>
        <b/>
        <sz val="11"/>
        <color theme="1"/>
        <rFont val="Calibri"/>
        <family val="2"/>
        <scheme val="minor"/>
      </rPr>
      <t>Étape 2 :</t>
    </r>
    <r>
      <rPr>
        <sz val="11"/>
        <color theme="1"/>
        <rFont val="Calibri"/>
        <family val="2"/>
        <scheme val="minor"/>
      </rPr>
      <t xml:space="preserve"> Toujours dans l'onglet "Ressources", sélectionnez votre province et l'année en cours du Wargame, puis reportez vous à l'onglet qui y correspond. (Important !!) Donc ici sur </t>
    </r>
    <r>
      <rPr>
        <sz val="11"/>
        <color rgb="FF008000"/>
        <rFont val="Calibri"/>
        <family val="2"/>
        <scheme val="minor"/>
      </rPr>
      <t>le Val-Boisé</t>
    </r>
    <r>
      <rPr>
        <sz val="11"/>
        <color theme="1"/>
        <rFont val="Calibri"/>
        <family val="2"/>
        <scheme val="minor"/>
      </rPr>
      <t xml:space="preserve"> si vous avez sélectionné "</t>
    </r>
    <r>
      <rPr>
        <sz val="11"/>
        <color rgb="FF008000"/>
        <rFont val="Calibri"/>
        <family val="2"/>
        <scheme val="minor"/>
      </rPr>
      <t>Val-Boisé</t>
    </r>
    <r>
      <rPr>
        <sz val="11"/>
        <color theme="1"/>
        <rFont val="Calibri"/>
        <family val="2"/>
        <scheme val="minor"/>
      </rPr>
      <t>".</t>
    </r>
  </si>
  <si>
    <r>
      <rPr>
        <b/>
        <sz val="11"/>
        <color theme="1"/>
        <rFont val="Calibri"/>
        <family val="2"/>
        <scheme val="minor"/>
      </rPr>
      <t>Étape 2 :</t>
    </r>
    <r>
      <rPr>
        <sz val="11"/>
        <color theme="1"/>
        <rFont val="Calibri"/>
        <family val="2"/>
        <scheme val="minor"/>
      </rPr>
      <t xml:space="preserve"> Toujours dans l'onglet "Ressources", sélectionnez votre province et l'année en cours du Wargame, puis reportez vous à l'onglet qui y correspond. (Important !!) Donc ici sur </t>
    </r>
    <r>
      <rPr>
        <sz val="11"/>
        <color rgb="FF993366"/>
        <rFont val="Calibri"/>
        <family val="2"/>
        <scheme val="minor"/>
      </rPr>
      <t>Solstheim</t>
    </r>
    <r>
      <rPr>
        <sz val="11"/>
        <color theme="1"/>
        <rFont val="Calibri"/>
        <family val="2"/>
        <scheme val="minor"/>
      </rPr>
      <t xml:space="preserve"> si vous avez sélectionné "</t>
    </r>
    <r>
      <rPr>
        <sz val="11"/>
        <color rgb="FF993366"/>
        <rFont val="Calibri"/>
        <family val="2"/>
        <scheme val="minor"/>
      </rPr>
      <t>Solstheim</t>
    </r>
    <r>
      <rPr>
        <sz val="11"/>
        <color theme="1"/>
        <rFont val="Calibri"/>
        <family val="2"/>
        <scheme val="minor"/>
      </rPr>
      <t>".</t>
    </r>
  </si>
  <si>
    <r>
      <rPr>
        <b/>
        <sz val="11"/>
        <color theme="1"/>
        <rFont val="Calibri"/>
        <family val="2"/>
        <scheme val="minor"/>
      </rPr>
      <t>NOTE :</t>
    </r>
    <r>
      <rPr>
        <sz val="11"/>
        <color theme="1"/>
        <rFont val="Calibri"/>
        <family val="2"/>
        <scheme val="minor"/>
      </rPr>
      <t xml:space="preserve"> Les cases oranges proviennent des paramètres de l'onglet "Ressources" (et vice-versa). Les cases jaunes d'ici seront donc reportées sur les tableaux de l'onglet "Ressources" si vous avez sélectionné "</t>
    </r>
    <r>
      <rPr>
        <sz val="11"/>
        <color rgb="FF993366"/>
        <rFont val="Calibri"/>
        <family val="2"/>
        <scheme val="minor"/>
      </rPr>
      <t>Solstheim</t>
    </r>
    <r>
      <rPr>
        <sz val="11"/>
        <color theme="1"/>
        <rFont val="Calibri"/>
        <family val="2"/>
        <scheme val="minor"/>
      </rPr>
      <t>" comme province.</t>
    </r>
  </si>
  <si>
    <r>
      <rPr>
        <b/>
        <sz val="11"/>
        <color theme="1"/>
        <rFont val="Calibri"/>
        <family val="2"/>
        <scheme val="minor"/>
      </rPr>
      <t>NOTE :</t>
    </r>
    <r>
      <rPr>
        <sz val="11"/>
        <color theme="1"/>
        <rFont val="Calibri"/>
        <family val="2"/>
        <scheme val="minor"/>
      </rPr>
      <t xml:space="preserve"> Les cases oranges proviennent des paramètres de l'onglet "Ressources" (et vice-versa). Les cases jaunes d'ici seront donc reportées sur les tableaux de l'onglet "Ressources" si vous avez sélectionné "</t>
    </r>
    <r>
      <rPr>
        <sz val="11"/>
        <color rgb="FF008000"/>
        <rFont val="Calibri"/>
        <family val="2"/>
        <scheme val="minor"/>
      </rPr>
      <t>Val-Boisé</t>
    </r>
    <r>
      <rPr>
        <sz val="11"/>
        <color theme="1"/>
        <rFont val="Calibri"/>
        <family val="2"/>
        <scheme val="minor"/>
      </rPr>
      <t>" comme province.</t>
    </r>
  </si>
  <si>
    <r>
      <rPr>
        <b/>
        <sz val="11"/>
        <color theme="1"/>
        <rFont val="Calibri"/>
        <family val="2"/>
        <scheme val="minor"/>
      </rPr>
      <t>Étape 2 :</t>
    </r>
    <r>
      <rPr>
        <sz val="11"/>
        <color theme="1"/>
        <rFont val="Calibri"/>
        <family val="2"/>
        <scheme val="minor"/>
      </rPr>
      <t xml:space="preserve"> Toujours dans l'onglet "Ressources", sélectionnez votre province et l'année en cours du Wargame, puis reportez vous à l'onglet qui y correspond. (Important !!) Donc ici sur </t>
    </r>
    <r>
      <rPr>
        <sz val="11"/>
        <color rgb="FF808000"/>
        <rFont val="Calibri"/>
        <family val="2"/>
        <scheme val="minor"/>
      </rPr>
      <t>Orsinium</t>
    </r>
    <r>
      <rPr>
        <sz val="11"/>
        <color theme="1"/>
        <rFont val="Calibri"/>
        <family val="2"/>
        <scheme val="minor"/>
      </rPr>
      <t xml:space="preserve"> si vous avez sélectionné "</t>
    </r>
    <r>
      <rPr>
        <sz val="11"/>
        <color rgb="FF808000"/>
        <rFont val="Calibri"/>
        <family val="2"/>
        <scheme val="minor"/>
      </rPr>
      <t>Orsinium</t>
    </r>
    <r>
      <rPr>
        <sz val="11"/>
        <color theme="1"/>
        <rFont val="Calibri"/>
        <family val="2"/>
        <scheme val="minor"/>
      </rPr>
      <t>".</t>
    </r>
  </si>
  <si>
    <r>
      <rPr>
        <b/>
        <sz val="11"/>
        <color theme="1"/>
        <rFont val="Calibri"/>
        <family val="2"/>
        <scheme val="minor"/>
      </rPr>
      <t>NOTE :</t>
    </r>
    <r>
      <rPr>
        <sz val="11"/>
        <color theme="1"/>
        <rFont val="Calibri"/>
        <family val="2"/>
        <scheme val="minor"/>
      </rPr>
      <t xml:space="preserve"> Les cases oranges proviennent des paramètres de l'onglet "Ressources" (et vice-versa). Les cases jaunes d'ici seront donc reportées sur les tableaux de l'onglet "Ressources" si vous avez sélectionné "</t>
    </r>
    <r>
      <rPr>
        <sz val="11"/>
        <color rgb="FF808000"/>
        <rFont val="Calibri"/>
        <family val="2"/>
        <scheme val="minor"/>
      </rPr>
      <t>Orsinium</t>
    </r>
    <r>
      <rPr>
        <sz val="11"/>
        <color theme="1"/>
        <rFont val="Calibri"/>
        <family val="2"/>
        <scheme val="minor"/>
      </rPr>
      <t>" comme province.</t>
    </r>
  </si>
  <si>
    <r>
      <rPr>
        <b/>
        <sz val="11"/>
        <color theme="1"/>
        <rFont val="Calibri"/>
        <family val="2"/>
        <scheme val="minor"/>
      </rPr>
      <t>Étape 2 :</t>
    </r>
    <r>
      <rPr>
        <sz val="11"/>
        <color theme="1"/>
        <rFont val="Calibri"/>
        <family val="2"/>
        <scheme val="minor"/>
      </rPr>
      <t xml:space="preserve"> Toujours dans l'onglet "Ressources", sélectionnez votre province et l'année en cours du Wargame, puis reportez vous à l'onglet qui y correspond. (Important !!) Donc ici sur </t>
    </r>
    <r>
      <rPr>
        <sz val="11"/>
        <color rgb="FFCC00CC"/>
        <rFont val="Calibri"/>
        <family val="2"/>
        <scheme val="minor"/>
      </rPr>
      <t>Morrowind</t>
    </r>
    <r>
      <rPr>
        <sz val="11"/>
        <color theme="1"/>
        <rFont val="Calibri"/>
        <family val="2"/>
        <scheme val="minor"/>
      </rPr>
      <t xml:space="preserve"> si vous avez sélectionné "</t>
    </r>
    <r>
      <rPr>
        <sz val="11"/>
        <color rgb="FFCC00CC"/>
        <rFont val="Calibri"/>
        <family val="2"/>
        <scheme val="minor"/>
      </rPr>
      <t>Morrowind</t>
    </r>
    <r>
      <rPr>
        <sz val="11"/>
        <color theme="1"/>
        <rFont val="Calibri"/>
        <family val="2"/>
        <scheme val="minor"/>
      </rPr>
      <t>".</t>
    </r>
  </si>
  <si>
    <r>
      <rPr>
        <b/>
        <sz val="11"/>
        <color theme="1"/>
        <rFont val="Calibri"/>
        <family val="2"/>
        <scheme val="minor"/>
      </rPr>
      <t>NOTE :</t>
    </r>
    <r>
      <rPr>
        <sz val="11"/>
        <color theme="1"/>
        <rFont val="Calibri"/>
        <family val="2"/>
        <scheme val="minor"/>
      </rPr>
      <t xml:space="preserve"> Les cases oranges proviennent des paramètres de l'onglet "Ressources" (et vice-versa). Les cases jaunes d'ici seront donc reportées sur les tableaux de l'onglet "Ressources" si vous avez sélectionné "</t>
    </r>
    <r>
      <rPr>
        <sz val="11"/>
        <color rgb="FFCC00CC"/>
        <rFont val="Calibri"/>
        <family val="2"/>
        <scheme val="minor"/>
      </rPr>
      <t>Morrowind</t>
    </r>
    <r>
      <rPr>
        <sz val="11"/>
        <color theme="1"/>
        <rFont val="Calibri"/>
        <family val="2"/>
        <scheme val="minor"/>
      </rPr>
      <t>" comme province.</t>
    </r>
  </si>
  <si>
    <r>
      <rPr>
        <b/>
        <sz val="11"/>
        <color theme="1"/>
        <rFont val="Calibri"/>
        <family val="2"/>
        <scheme val="minor"/>
      </rPr>
      <t>Étape 2 :</t>
    </r>
    <r>
      <rPr>
        <sz val="11"/>
        <color theme="1"/>
        <rFont val="Calibri"/>
        <family val="2"/>
        <scheme val="minor"/>
      </rPr>
      <t xml:space="preserve"> Toujours dans l'onglet "Ressources", sélectionnez votre province et l'année en cours du Wargame, puis reportez vous à l'onglet qui y correspond. (Important !!) Donc ici sur le </t>
    </r>
    <r>
      <rPr>
        <sz val="11"/>
        <color rgb="FF009999"/>
        <rFont val="Calibri"/>
        <family val="2"/>
        <scheme val="minor"/>
      </rPr>
      <t>Marais Noir</t>
    </r>
    <r>
      <rPr>
        <sz val="11"/>
        <color theme="1"/>
        <rFont val="Calibri"/>
        <family val="2"/>
        <scheme val="minor"/>
      </rPr>
      <t xml:space="preserve"> si vous avez sélectionné "</t>
    </r>
    <r>
      <rPr>
        <sz val="11"/>
        <color rgb="FF009999"/>
        <rFont val="Calibri"/>
        <family val="2"/>
        <scheme val="minor"/>
      </rPr>
      <t>Marais Noir</t>
    </r>
    <r>
      <rPr>
        <sz val="11"/>
        <color theme="1"/>
        <rFont val="Calibri"/>
        <family val="2"/>
        <scheme val="minor"/>
      </rPr>
      <t>".</t>
    </r>
  </si>
  <si>
    <r>
      <rPr>
        <b/>
        <sz val="11"/>
        <color theme="1"/>
        <rFont val="Calibri"/>
        <family val="2"/>
        <scheme val="minor"/>
      </rPr>
      <t>NOTE :</t>
    </r>
    <r>
      <rPr>
        <sz val="11"/>
        <color theme="1"/>
        <rFont val="Calibri"/>
        <family val="2"/>
        <scheme val="minor"/>
      </rPr>
      <t xml:space="preserve"> Les cases oranges proviennent des paramètres de l'onglet "Ressources" (et vice-versa). Les cases jaunes d'ici seront donc reportées sur les tableaux de l'onglet "Ressources" si vous avez sélectionné "</t>
    </r>
    <r>
      <rPr>
        <sz val="11"/>
        <color rgb="FF009999"/>
        <rFont val="Calibri"/>
        <family val="2"/>
        <scheme val="minor"/>
      </rPr>
      <t>Marais Noir</t>
    </r>
    <r>
      <rPr>
        <sz val="11"/>
        <color theme="1"/>
        <rFont val="Calibri"/>
        <family val="2"/>
        <scheme val="minor"/>
      </rPr>
      <t>" comme province.</t>
    </r>
  </si>
  <si>
    <r>
      <rPr>
        <b/>
        <sz val="11"/>
        <color theme="1"/>
        <rFont val="Calibri"/>
        <family val="2"/>
        <scheme val="minor"/>
      </rPr>
      <t>Étape 2 :</t>
    </r>
    <r>
      <rPr>
        <sz val="11"/>
        <color theme="1"/>
        <rFont val="Calibri"/>
        <family val="2"/>
        <scheme val="minor"/>
      </rPr>
      <t xml:space="preserve"> Toujours dans l'onglet "Ressources", sélectionnez votre province et l'année en cours du Wargame, puis reportez vous à l'onglet qui y correspond. (Important !!) Donc ici sur </t>
    </r>
    <r>
      <rPr>
        <sz val="11"/>
        <color rgb="FFFF0000"/>
        <rFont val="Calibri"/>
        <family val="2"/>
        <scheme val="minor"/>
      </rPr>
      <t>Lenclume</t>
    </r>
    <r>
      <rPr>
        <sz val="11"/>
        <color theme="1"/>
        <rFont val="Calibri"/>
        <family val="2"/>
        <scheme val="minor"/>
      </rPr>
      <t xml:space="preserve"> si vous avez sélectionné "</t>
    </r>
    <r>
      <rPr>
        <sz val="11"/>
        <color rgb="FFFF0000"/>
        <rFont val="Calibri"/>
        <family val="2"/>
        <scheme val="minor"/>
      </rPr>
      <t>Lenclume</t>
    </r>
    <r>
      <rPr>
        <sz val="11"/>
        <color theme="1"/>
        <rFont val="Calibri"/>
        <family val="2"/>
        <scheme val="minor"/>
      </rPr>
      <t>".</t>
    </r>
  </si>
  <si>
    <r>
      <rPr>
        <b/>
        <sz val="11"/>
        <color theme="1"/>
        <rFont val="Calibri"/>
        <family val="2"/>
        <scheme val="minor"/>
      </rPr>
      <t>NOTE :</t>
    </r>
    <r>
      <rPr>
        <sz val="11"/>
        <color theme="1"/>
        <rFont val="Calibri"/>
        <family val="2"/>
        <scheme val="minor"/>
      </rPr>
      <t xml:space="preserve"> Les cases oranges proviennent des paramètres de l'onglet "Ressources" (et vice-versa). Les cases jaunes d'ici seront donc reportées sur les tableaux de l'onglet "Ressources" si vous avez sélectionné "</t>
    </r>
    <r>
      <rPr>
        <sz val="11"/>
        <color rgb="FFFF0000"/>
        <rFont val="Calibri"/>
        <family val="2"/>
        <scheme val="minor"/>
      </rPr>
      <t>Lenclume</t>
    </r>
    <r>
      <rPr>
        <sz val="11"/>
        <color theme="1"/>
        <rFont val="Calibri"/>
        <family val="2"/>
        <scheme val="minor"/>
      </rPr>
      <t>" comme province.</t>
    </r>
  </si>
  <si>
    <r>
      <rPr>
        <b/>
        <sz val="11"/>
        <color theme="1"/>
        <rFont val="Calibri"/>
        <family val="2"/>
        <scheme val="minor"/>
      </rPr>
      <t>Étape 2 :</t>
    </r>
    <r>
      <rPr>
        <sz val="11"/>
        <color theme="1"/>
        <rFont val="Calibri"/>
        <family val="2"/>
        <scheme val="minor"/>
      </rPr>
      <t xml:space="preserve"> Toujours dans l'onglet "Ressources", sélectionnez votre province et l'année en cours du Wargame, puis reportez vous à l'onglet qui y correspond. (Important !!) Donc ici sur </t>
    </r>
    <r>
      <rPr>
        <sz val="11"/>
        <color rgb="FF0000CC"/>
        <rFont val="Calibri"/>
        <family val="2"/>
        <scheme val="minor"/>
      </rPr>
      <t>Hauteroche</t>
    </r>
    <r>
      <rPr>
        <sz val="11"/>
        <color theme="1"/>
        <rFont val="Calibri"/>
        <family val="2"/>
        <scheme val="minor"/>
      </rPr>
      <t xml:space="preserve"> si vous avez sélectionné "</t>
    </r>
    <r>
      <rPr>
        <sz val="11"/>
        <color rgb="FF0000CC"/>
        <rFont val="Calibri"/>
        <family val="2"/>
        <scheme val="minor"/>
      </rPr>
      <t>Hauteroche</t>
    </r>
    <r>
      <rPr>
        <sz val="11"/>
        <color theme="1"/>
        <rFont val="Calibri"/>
        <family val="2"/>
        <scheme val="minor"/>
      </rPr>
      <t>".</t>
    </r>
  </si>
  <si>
    <r>
      <rPr>
        <b/>
        <sz val="11"/>
        <color theme="1"/>
        <rFont val="Calibri"/>
        <family val="2"/>
        <scheme val="minor"/>
      </rPr>
      <t>NOTE :</t>
    </r>
    <r>
      <rPr>
        <sz val="11"/>
        <color theme="1"/>
        <rFont val="Calibri"/>
        <family val="2"/>
        <scheme val="minor"/>
      </rPr>
      <t xml:space="preserve"> Les cases oranges proviennent des paramètres de l'onglet "Ressources" (et vice-versa). Les cases jaunes d'ici seront donc reportées sur les tableaux de l'onglet "Ressources" si vous avez sélectionné "</t>
    </r>
    <r>
      <rPr>
        <sz val="11"/>
        <color rgb="FF0000CC"/>
        <rFont val="Calibri"/>
        <family val="2"/>
        <scheme val="minor"/>
      </rPr>
      <t>Hauteroche</t>
    </r>
    <r>
      <rPr>
        <sz val="11"/>
        <color theme="1"/>
        <rFont val="Calibri"/>
        <family val="2"/>
        <scheme val="minor"/>
      </rPr>
      <t>" comme province.</t>
    </r>
  </si>
  <si>
    <r>
      <rPr>
        <b/>
        <sz val="11"/>
        <color theme="1"/>
        <rFont val="Calibri"/>
        <family val="2"/>
        <scheme val="minor"/>
      </rPr>
      <t>Étape 2 :</t>
    </r>
    <r>
      <rPr>
        <sz val="11"/>
        <color theme="1"/>
        <rFont val="Calibri"/>
        <family val="2"/>
        <scheme val="minor"/>
      </rPr>
      <t xml:space="preserve"> Toujours dans l'onglet "Ressources", sélectionnez votre province et l'année en cours du Wargame, puis reportez vous à l'onglet qui y correspond. (Important !!) Donc ici sur </t>
    </r>
    <r>
      <rPr>
        <sz val="11"/>
        <color rgb="FFCC6600"/>
        <rFont val="Calibri"/>
        <family val="2"/>
        <scheme val="minor"/>
      </rPr>
      <t>Elsweyr</t>
    </r>
    <r>
      <rPr>
        <sz val="11"/>
        <color theme="1"/>
        <rFont val="Calibri"/>
        <family val="2"/>
        <scheme val="minor"/>
      </rPr>
      <t xml:space="preserve"> si vous avez sélectionné "</t>
    </r>
    <r>
      <rPr>
        <sz val="11"/>
        <color rgb="FFCC6600"/>
        <rFont val="Calibri"/>
        <family val="2"/>
        <scheme val="minor"/>
      </rPr>
      <t>Elsweyr</t>
    </r>
    <r>
      <rPr>
        <sz val="11"/>
        <color theme="1"/>
        <rFont val="Calibri"/>
        <family val="2"/>
        <scheme val="minor"/>
      </rPr>
      <t>".</t>
    </r>
  </si>
  <si>
    <r>
      <rPr>
        <b/>
        <sz val="11"/>
        <color theme="1"/>
        <rFont val="Calibri"/>
        <family val="2"/>
        <scheme val="minor"/>
      </rPr>
      <t>NOTE :</t>
    </r>
    <r>
      <rPr>
        <sz val="11"/>
        <color theme="1"/>
        <rFont val="Calibri"/>
        <family val="2"/>
        <scheme val="minor"/>
      </rPr>
      <t xml:space="preserve"> Les cases oranges proviennent des paramètres de l'onglet "Ressources" (et vice-versa). Les cases jaunes d'ici seront donc reportées sur les tableaux de l'onglet "Ressources" si vous avez sélectionné "</t>
    </r>
    <r>
      <rPr>
        <sz val="11"/>
        <color rgb="FFCC6600"/>
        <rFont val="Calibri"/>
        <family val="2"/>
        <scheme val="minor"/>
      </rPr>
      <t>Elsweyr</t>
    </r>
    <r>
      <rPr>
        <sz val="11"/>
        <color theme="1"/>
        <rFont val="Calibri"/>
        <family val="2"/>
        <scheme val="minor"/>
      </rPr>
      <t>" comme province.</t>
    </r>
  </si>
  <si>
    <r>
      <rPr>
        <b/>
        <sz val="11"/>
        <color theme="1"/>
        <rFont val="Calibri"/>
        <family val="2"/>
        <scheme val="minor"/>
      </rPr>
      <t>Étape 2 :</t>
    </r>
    <r>
      <rPr>
        <sz val="11"/>
        <color theme="1"/>
        <rFont val="Calibri"/>
        <family val="2"/>
        <scheme val="minor"/>
      </rPr>
      <t xml:space="preserve"> Toujours dans l'onglet "Ressources", sélectionnez votre province et l'année en cours du Wargame, puis reportez vous à l'onglet qui y correspond. (Important !!) Donc ici sur </t>
    </r>
    <r>
      <rPr>
        <sz val="11"/>
        <color theme="1" tint="0.499984740745262"/>
        <rFont val="Calibri"/>
        <family val="2"/>
        <scheme val="minor"/>
      </rPr>
      <t>Cyrodiil</t>
    </r>
    <r>
      <rPr>
        <sz val="11"/>
        <color theme="1"/>
        <rFont val="Calibri"/>
        <family val="2"/>
        <scheme val="minor"/>
      </rPr>
      <t xml:space="preserve"> si vous avez sélectionné "</t>
    </r>
    <r>
      <rPr>
        <sz val="11"/>
        <color theme="1" tint="0.499984740745262"/>
        <rFont val="Calibri"/>
        <family val="2"/>
        <scheme val="minor"/>
      </rPr>
      <t>Cyrodiil</t>
    </r>
    <r>
      <rPr>
        <sz val="11"/>
        <color theme="1"/>
        <rFont val="Calibri"/>
        <family val="2"/>
        <scheme val="minor"/>
      </rPr>
      <t>".</t>
    </r>
  </si>
  <si>
    <r>
      <rPr>
        <b/>
        <sz val="11"/>
        <color theme="1"/>
        <rFont val="Calibri"/>
        <family val="2"/>
        <scheme val="minor"/>
      </rPr>
      <t>NOTE :</t>
    </r>
    <r>
      <rPr>
        <sz val="11"/>
        <color theme="1"/>
        <rFont val="Calibri"/>
        <family val="2"/>
        <scheme val="minor"/>
      </rPr>
      <t xml:space="preserve"> Les cases oranges proviennent des paramètres de l'onglet "Ressources" (et vice-versa). Les cases jaunes d'ici seront donc reportées sur les tableaux de l'onglet "Ressources" si vous avez sélectionné "</t>
    </r>
    <r>
      <rPr>
        <sz val="11"/>
        <color theme="1" tint="0.499984740745262"/>
        <rFont val="Calibri"/>
        <family val="2"/>
        <scheme val="minor"/>
      </rPr>
      <t>Cyrodiil</t>
    </r>
    <r>
      <rPr>
        <sz val="11"/>
        <color theme="1"/>
        <rFont val="Calibri"/>
        <family val="2"/>
        <scheme val="minor"/>
      </rPr>
      <t>" comme province.</t>
    </r>
  </si>
  <si>
    <r>
      <rPr>
        <b/>
        <sz val="11"/>
        <color theme="1"/>
        <rFont val="Calibri"/>
        <family val="2"/>
        <scheme val="minor"/>
      </rPr>
      <t>Étape 2 :</t>
    </r>
    <r>
      <rPr>
        <sz val="11"/>
        <color theme="1"/>
        <rFont val="Calibri"/>
        <family val="2"/>
        <scheme val="minor"/>
      </rPr>
      <t xml:space="preserve"> Toujours dans l'onglet "Ressources", sélectionnez votre province et l'année en cours du Wargame, puis reportez vous à l'onglet qui y correspond. (Important !!) Donc ici sur </t>
    </r>
    <r>
      <rPr>
        <sz val="11"/>
        <color rgb="FF0066FF"/>
        <rFont val="Calibri"/>
        <family val="2"/>
        <scheme val="minor"/>
      </rPr>
      <t>Bordeciel</t>
    </r>
    <r>
      <rPr>
        <sz val="11"/>
        <color theme="1"/>
        <rFont val="Calibri"/>
        <family val="2"/>
        <scheme val="minor"/>
      </rPr>
      <t xml:space="preserve"> si vous avez sélectionné "</t>
    </r>
    <r>
      <rPr>
        <sz val="11"/>
        <color rgb="FF0066FF"/>
        <rFont val="Calibri"/>
        <family val="2"/>
        <scheme val="minor"/>
      </rPr>
      <t>Bordeciel</t>
    </r>
    <r>
      <rPr>
        <sz val="11"/>
        <color theme="1"/>
        <rFont val="Calibri"/>
        <family val="2"/>
        <scheme val="minor"/>
      </rPr>
      <t>".</t>
    </r>
  </si>
  <si>
    <r>
      <rPr>
        <b/>
        <sz val="11"/>
        <color theme="1"/>
        <rFont val="Calibri"/>
        <family val="2"/>
        <scheme val="minor"/>
      </rPr>
      <t>NOTE :</t>
    </r>
    <r>
      <rPr>
        <sz val="11"/>
        <color theme="1"/>
        <rFont val="Calibri"/>
        <family val="2"/>
        <scheme val="minor"/>
      </rPr>
      <t xml:space="preserve"> Les cases oranges proviennent des paramètres de l'onglet "Ressources" (et vice-versa). Les cases jaunes d'ici seront donc reportées sur les tableaux de l'onglet "Ressources" si vous avez sélectionné "</t>
    </r>
    <r>
      <rPr>
        <sz val="11"/>
        <color rgb="FF0066FF"/>
        <rFont val="Calibri"/>
        <family val="2"/>
        <scheme val="minor"/>
      </rPr>
      <t>Bordeciel</t>
    </r>
    <r>
      <rPr>
        <sz val="11"/>
        <color theme="1"/>
        <rFont val="Calibri"/>
        <family val="2"/>
        <scheme val="minor"/>
      </rPr>
      <t>" comme province.</t>
    </r>
  </si>
  <si>
    <t>Pour calculer vos Ressources… Renseignez toutes les cases jaunes qui vous concernent, puis reportez-vous à l'onglet correspondant à votre province.</t>
  </si>
  <si>
    <t>3 000 septims / tranche de 4 rounds</t>
  </si>
  <si>
    <t>3 000 septims / round</t>
  </si>
  <si>
    <t>9 000 septims / round</t>
  </si>
  <si>
    <t>Villes alimentables par chaque ressource</t>
  </si>
  <si>
    <t>Possédé</t>
  </si>
  <si>
    <r>
      <rPr>
        <b/>
        <sz val="11"/>
        <color theme="1"/>
        <rFont val="Calibri"/>
        <family val="2"/>
        <scheme val="minor"/>
      </rPr>
      <t>Étape 2 :</t>
    </r>
    <r>
      <rPr>
        <sz val="11"/>
        <color theme="1"/>
        <rFont val="Calibri"/>
        <family val="2"/>
        <scheme val="minor"/>
      </rPr>
      <t xml:space="preserve"> Toujours dans l'onglet "Ressources", sélectionnez votre province et l'année en cours du Wargame, puis reportez vous à l'onglet qui y correspond. (Important !!) Donc ici sur </t>
    </r>
    <r>
      <rPr>
        <sz val="11"/>
        <color theme="9" tint="-0.249977111117893"/>
        <rFont val="Calibri"/>
        <family val="2"/>
        <scheme val="minor"/>
      </rPr>
      <t>l'Archipel de l'Automne</t>
    </r>
    <r>
      <rPr>
        <sz val="11"/>
        <color theme="1"/>
        <rFont val="Calibri"/>
        <family val="2"/>
        <scheme val="minor"/>
      </rPr>
      <t xml:space="preserve"> si vous avez sélectionné "</t>
    </r>
    <r>
      <rPr>
        <sz val="11"/>
        <color theme="9" tint="-0.249977111117893"/>
        <rFont val="Calibri"/>
        <family val="2"/>
        <scheme val="minor"/>
      </rPr>
      <t>Archipel de l'Automne</t>
    </r>
    <r>
      <rPr>
        <sz val="11"/>
        <color theme="1"/>
        <rFont val="Calibri"/>
        <family val="2"/>
        <scheme val="minor"/>
      </rPr>
      <t>".</t>
    </r>
  </si>
  <si>
    <r>
      <rPr>
        <b/>
        <sz val="11"/>
        <color theme="1"/>
        <rFont val="Calibri"/>
        <family val="2"/>
        <scheme val="minor"/>
      </rPr>
      <t>NOTE :</t>
    </r>
    <r>
      <rPr>
        <sz val="11"/>
        <color theme="1"/>
        <rFont val="Calibri"/>
        <family val="2"/>
        <scheme val="minor"/>
      </rPr>
      <t xml:space="preserve"> Les cases oranges proviennent des paramètres de l'onglet "Ressources" (et vice-versa). Les cases jaunes d'ici seront donc reportées sur les tableaux de l'onglet "Ressources" si vous avez sélectionné "</t>
    </r>
    <r>
      <rPr>
        <sz val="11"/>
        <color theme="9" tint="-0.249977111117893"/>
        <rFont val="Calibri"/>
        <family val="2"/>
        <scheme val="minor"/>
      </rPr>
      <t>Archipel de l'Automne</t>
    </r>
    <r>
      <rPr>
        <sz val="11"/>
        <color theme="1"/>
        <rFont val="Calibri"/>
        <family val="2"/>
        <scheme val="minor"/>
      </rPr>
      <t>" comme province.</t>
    </r>
  </si>
  <si>
    <t>État des Marchandises d'Alinor du début de l'année précédente jusqu'au nouvel-an de l'année actuelle :</t>
  </si>
  <si>
    <t>État des Marchandises de Bordeciel du début de l'année précédente jusqu'au nouvel-an de l'année actuelle :</t>
  </si>
  <si>
    <t>État des Marchandises de Cyrodiil du début de l'année précédente jusqu'au nouvel-an de l'année actuelle :</t>
  </si>
  <si>
    <t>État des Marchandises d'Elsweyr du début de l'année précédente jusqu'au nouvel-an de l'année actuelle :</t>
  </si>
  <si>
    <t>État des Marchandises du Val-Boisé du début de l'année précédente jusqu'au nouvel-an de l'année actuelle :</t>
  </si>
  <si>
    <t>État des Marchandises de Solstheim du début de l'année précédente jusqu'au nouvel-an de l'année actuelle :</t>
  </si>
  <si>
    <t>État des Marchandises d'Orsinium du début de l'année précédente jusqu'au nouvel-an de l'année actuelle :</t>
  </si>
  <si>
    <t>État des Marchandises de Morrowind du début de l'année précédente jusqu'au nouvel-an de l'année actuelle :</t>
  </si>
  <si>
    <t>État des Marchandises du Marais Noir du début de l'année précédente jusqu'au nouvel-an de l'année actuelle :</t>
  </si>
  <si>
    <t>État des Marchandises de Lenclume du début de l'année précédente jusqu'au nouvel-an de l'année actuelle :</t>
  </si>
  <si>
    <t>État des Marchandises d'Hauteroche du début de l'année précédente jusqu'au nouvel-an de l'année actuelle :</t>
  </si>
  <si>
    <t>Villes possédées :</t>
  </si>
  <si>
    <t>* Mettre le statut au 31 Soirétoile (dernière minute) de l'année passée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</si>
</sst>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_ ;[Red]\-#,##0\ "/>
    <numFmt numFmtId="165" formatCode="#,##0.000_ ;[Red]\-#,##0.000\ 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80008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i/>
      <sz val="11"/>
      <color rgb="FF31869B"/>
      <name val="Calibri"/>
      <family val="2"/>
      <scheme val="minor"/>
    </font>
    <font>
      <sz val="11"/>
      <color rgb="FF800080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i/>
      <sz val="10"/>
      <color rgb="FF31869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FF66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66FF"/>
      <name val="Calibri"/>
      <family val="2"/>
      <scheme val="minor"/>
    </font>
    <font>
      <b/>
      <sz val="14"/>
      <color rgb="FFFF6600"/>
      <name val="Calibri"/>
      <family val="2"/>
      <scheme val="minor"/>
    </font>
    <font>
      <b/>
      <sz val="14"/>
      <color rgb="FF0066FF"/>
      <name val="Calibri"/>
      <family val="2"/>
      <scheme val="minor"/>
    </font>
    <font>
      <b/>
      <sz val="14"/>
      <color rgb="FF008000"/>
      <name val="Calibri"/>
      <family val="2"/>
      <scheme val="minor"/>
    </font>
    <font>
      <b/>
      <sz val="14"/>
      <color rgb="FF993366"/>
      <name val="Calibri"/>
      <family val="2"/>
      <scheme val="minor"/>
    </font>
    <font>
      <b/>
      <sz val="11"/>
      <color rgb="FF993366"/>
      <name val="Calibri"/>
      <family val="2"/>
      <scheme val="minor"/>
    </font>
    <font>
      <b/>
      <sz val="11"/>
      <color rgb="FF808000"/>
      <name val="Calibri"/>
      <family val="2"/>
      <scheme val="minor"/>
    </font>
    <font>
      <b/>
      <sz val="14"/>
      <color rgb="FF808000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sz val="14"/>
      <color rgb="FFCC00CC"/>
      <name val="Calibri"/>
      <family val="2"/>
      <scheme val="minor"/>
    </font>
    <font>
      <b/>
      <sz val="14"/>
      <color rgb="FF009999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1"/>
      <color rgb="FFCC6600"/>
      <name val="Calibri"/>
      <family val="2"/>
      <scheme val="minor"/>
    </font>
    <font>
      <b/>
      <sz val="14"/>
      <color rgb="FFCC6600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sz val="11"/>
      <color rgb="FF808000"/>
      <name val="Calibri"/>
      <family val="2"/>
      <scheme val="minor"/>
    </font>
    <font>
      <sz val="11"/>
      <color rgb="FF0066FF"/>
      <name val="Calibri"/>
      <family val="2"/>
      <scheme val="minor"/>
    </font>
    <font>
      <sz val="11"/>
      <color rgb="FF993366"/>
      <name val="Calibri"/>
      <family val="2"/>
      <scheme val="minor"/>
    </font>
    <font>
      <sz val="11"/>
      <color rgb="FFCC6600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rgb="FFCC00CC"/>
      <name val="Calibri"/>
      <family val="2"/>
      <scheme val="minor"/>
    </font>
    <font>
      <sz val="11"/>
      <color rgb="FF009999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CFF"/>
        <bgColor indexed="64"/>
      </patternFill>
    </fill>
    <fill>
      <patternFill patternType="solid">
        <fgColor theme="9" tint="0.79998168889431442"/>
        <bgColor indexed="64"/>
      </patternFill>
    </fill>
  </fills>
  <borders count="83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auto="1"/>
      </bottom>
      <diagonal/>
    </border>
    <border>
      <left style="hair">
        <color theme="0" tint="-0.24994659260841701"/>
      </left>
      <right/>
      <top style="medium">
        <color auto="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medium">
        <color auto="1"/>
      </bottom>
      <diagonal/>
    </border>
    <border>
      <left style="thin">
        <color auto="1"/>
      </left>
      <right style="hair">
        <color theme="0" tint="-0.24994659260841701"/>
      </right>
      <top style="medium">
        <color auto="1"/>
      </top>
      <bottom style="hair">
        <color theme="0" tint="-0.24994659260841701"/>
      </bottom>
      <diagonal/>
    </border>
    <border>
      <left style="thin">
        <color auto="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auto="1"/>
      </left>
      <right style="hair">
        <color theme="0" tint="-0.24994659260841701"/>
      </right>
      <top style="hair">
        <color theme="0" tint="-0.24994659260841701"/>
      </top>
      <bottom style="medium">
        <color auto="1"/>
      </bottom>
      <diagonal/>
    </border>
    <border>
      <left style="hair">
        <color theme="0" tint="-0.24994659260841701"/>
      </left>
      <right style="thin">
        <color auto="1"/>
      </right>
      <top style="medium">
        <color auto="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medium">
        <color auto="1"/>
      </top>
      <bottom style="medium">
        <color auto="1"/>
      </bottom>
      <diagonal/>
    </border>
    <border>
      <left style="hair">
        <color theme="0" tint="-0.2499465926084170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medium">
        <color auto="1"/>
      </bottom>
      <diagonal/>
    </border>
    <border>
      <left/>
      <right style="hair">
        <color theme="0" tint="-0.24994659260841701"/>
      </right>
      <top style="medium">
        <color auto="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auto="1"/>
      </left>
      <right style="hair">
        <color theme="0" tint="-0.499984740745262"/>
      </right>
      <top style="medium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auto="1"/>
      </right>
      <top style="medium">
        <color auto="1"/>
      </top>
      <bottom style="hair">
        <color theme="0" tint="-0.499984740745262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 style="medium">
        <color auto="1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/>
      <diagonal/>
    </border>
    <border>
      <left style="medium">
        <color auto="1"/>
      </left>
      <right style="hair">
        <color theme="0" tint="-0.499984740745262"/>
      </right>
      <top style="medium">
        <color auto="1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auto="1"/>
      </top>
      <bottom style="medium">
        <color auto="1"/>
      </bottom>
      <diagonal/>
    </border>
    <border>
      <left style="hair">
        <color theme="0" tint="-0.499984740745262"/>
      </left>
      <right style="thin">
        <color theme="0" tint="-0.499984740745262"/>
      </right>
      <top style="medium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medium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 style="hair">
        <color theme="0" tint="-0.499984740745262"/>
      </right>
      <top style="medium">
        <color auto="1"/>
      </top>
      <bottom style="medium">
        <color auto="1"/>
      </bottom>
      <diagonal/>
    </border>
    <border>
      <left style="hair">
        <color theme="0" tint="-0.499984740745262"/>
      </left>
      <right/>
      <top style="medium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auto="1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medium">
        <color auto="1"/>
      </left>
      <right style="hair">
        <color theme="0" tint="-0.24994659260841701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24994659260841701"/>
      </left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auto="1"/>
      </right>
      <top style="hair">
        <color theme="0" tint="-0.24994659260841701"/>
      </top>
      <bottom style="medium">
        <color auto="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7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9" fillId="0" borderId="0" xfId="0" applyFont="1"/>
    <xf numFmtId="0" fontId="3" fillId="0" borderId="0" xfId="0" applyFont="1"/>
    <xf numFmtId="0" fontId="7" fillId="0" borderId="0" xfId="0" applyFont="1"/>
    <xf numFmtId="0" fontId="0" fillId="0" borderId="0" xfId="0" applyFont="1"/>
    <xf numFmtId="0" fontId="10" fillId="0" borderId="0" xfId="0" applyFont="1"/>
    <xf numFmtId="49" fontId="8" fillId="0" borderId="0" xfId="0" applyNumberFormat="1" applyFont="1"/>
    <xf numFmtId="0" fontId="0" fillId="0" borderId="13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9" fontId="0" fillId="0" borderId="0" xfId="0" applyNumberFormat="1"/>
    <xf numFmtId="9" fontId="0" fillId="2" borderId="4" xfId="0" applyNumberForma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9" fontId="0" fillId="2" borderId="10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/>
    <xf numFmtId="0" fontId="1" fillId="0" borderId="1" xfId="0" applyFont="1" applyBorder="1"/>
    <xf numFmtId="0" fontId="0" fillId="0" borderId="10" xfId="0" applyBorder="1"/>
    <xf numFmtId="0" fontId="12" fillId="0" borderId="7" xfId="0" applyFont="1" applyBorder="1" applyAlignment="1">
      <alignment horizontal="right"/>
    </xf>
    <xf numFmtId="0" fontId="0" fillId="0" borderId="3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1" fillId="2" borderId="34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1" fillId="2" borderId="24" xfId="0" applyNumberFormat="1" applyFont="1" applyFill="1" applyBorder="1" applyAlignment="1">
      <alignment horizontal="center"/>
    </xf>
    <xf numFmtId="164" fontId="1" fillId="2" borderId="35" xfId="0" applyNumberFormat="1" applyFont="1" applyFill="1" applyBorder="1" applyAlignment="1">
      <alignment horizontal="center"/>
    </xf>
    <xf numFmtId="164" fontId="1" fillId="2" borderId="25" xfId="0" applyNumberFormat="1" applyFont="1" applyFill="1" applyBorder="1" applyAlignment="1">
      <alignment horizontal="center"/>
    </xf>
    <xf numFmtId="164" fontId="1" fillId="2" borderId="33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1" fillId="2" borderId="26" xfId="0" applyNumberFormat="1" applyFont="1" applyFill="1" applyBorder="1" applyAlignment="1">
      <alignment horizontal="center"/>
    </xf>
    <xf numFmtId="164" fontId="1" fillId="2" borderId="31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164" fontId="1" fillId="2" borderId="27" xfId="0" applyNumberFormat="1" applyFont="1" applyFill="1" applyBorder="1" applyAlignment="1">
      <alignment horizontal="center"/>
    </xf>
    <xf numFmtId="164" fontId="1" fillId="2" borderId="28" xfId="0" applyNumberFormat="1" applyFont="1" applyFill="1" applyBorder="1" applyAlignment="1">
      <alignment horizontal="center"/>
    </xf>
    <xf numFmtId="164" fontId="1" fillId="2" borderId="29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3" fillId="0" borderId="36" xfId="0" applyFont="1" applyBorder="1" applyAlignment="1">
      <alignment horizontal="center"/>
    </xf>
    <xf numFmtId="164" fontId="0" fillId="3" borderId="37" xfId="0" applyNumberFormat="1" applyFill="1" applyBorder="1" applyAlignment="1">
      <alignment horizontal="center"/>
    </xf>
    <xf numFmtId="0" fontId="13" fillId="0" borderId="38" xfId="0" applyFont="1" applyBorder="1" applyAlignment="1">
      <alignment horizontal="center"/>
    </xf>
    <xf numFmtId="164" fontId="0" fillId="3" borderId="39" xfId="0" applyNumberFormat="1" applyFill="1" applyBorder="1" applyAlignment="1">
      <alignment horizontal="center"/>
    </xf>
    <xf numFmtId="0" fontId="13" fillId="0" borderId="40" xfId="0" applyFont="1" applyBorder="1" applyAlignment="1">
      <alignment horizontal="center"/>
    </xf>
    <xf numFmtId="164" fontId="0" fillId="3" borderId="41" xfId="0" applyNumberFormat="1" applyFill="1" applyBorder="1" applyAlignment="1">
      <alignment horizontal="center"/>
    </xf>
    <xf numFmtId="0" fontId="13" fillId="0" borderId="42" xfId="0" applyFont="1" applyBorder="1" applyAlignment="1">
      <alignment horizontal="center"/>
    </xf>
    <xf numFmtId="164" fontId="0" fillId="3" borderId="43" xfId="0" applyNumberFormat="1" applyFill="1" applyBorder="1" applyAlignment="1">
      <alignment horizontal="center"/>
    </xf>
    <xf numFmtId="164" fontId="0" fillId="3" borderId="57" xfId="0" applyNumberFormat="1" applyFill="1" applyBorder="1" applyAlignment="1">
      <alignment horizontal="center"/>
    </xf>
    <xf numFmtId="164" fontId="0" fillId="3" borderId="58" xfId="0" applyNumberFormat="1" applyFill="1" applyBorder="1" applyAlignment="1">
      <alignment horizontal="center"/>
    </xf>
    <xf numFmtId="164" fontId="0" fillId="3" borderId="59" xfId="0" applyNumberFormat="1" applyFill="1" applyBorder="1" applyAlignment="1">
      <alignment horizontal="center"/>
    </xf>
    <xf numFmtId="164" fontId="0" fillId="3" borderId="60" xfId="0" applyNumberFormat="1" applyFill="1" applyBorder="1" applyAlignment="1">
      <alignment horizontal="center"/>
    </xf>
    <xf numFmtId="164" fontId="13" fillId="0" borderId="61" xfId="0" applyNumberFormat="1" applyFont="1" applyBorder="1" applyAlignment="1">
      <alignment horizontal="center"/>
    </xf>
    <xf numFmtId="164" fontId="13" fillId="0" borderId="48" xfId="0" applyNumberFormat="1" applyFont="1" applyBorder="1" applyAlignment="1">
      <alignment horizontal="center"/>
    </xf>
    <xf numFmtId="164" fontId="0" fillId="3" borderId="47" xfId="0" applyNumberFormat="1" applyFill="1" applyBorder="1" applyAlignment="1">
      <alignment horizontal="center"/>
    </xf>
    <xf numFmtId="164" fontId="13" fillId="0" borderId="50" xfId="0" applyNumberFormat="1" applyFont="1" applyBorder="1" applyAlignment="1">
      <alignment horizontal="center"/>
    </xf>
    <xf numFmtId="164" fontId="0" fillId="3" borderId="49" xfId="0" applyNumberFormat="1" applyFill="1" applyBorder="1" applyAlignment="1">
      <alignment horizontal="center"/>
    </xf>
    <xf numFmtId="164" fontId="13" fillId="0" borderId="52" xfId="0" applyNumberFormat="1" applyFont="1" applyBorder="1" applyAlignment="1">
      <alignment horizontal="center"/>
    </xf>
    <xf numFmtId="164" fontId="0" fillId="3" borderId="51" xfId="0" applyNumberFormat="1" applyFill="1" applyBorder="1" applyAlignment="1">
      <alignment horizontal="center"/>
    </xf>
    <xf numFmtId="164" fontId="13" fillId="0" borderId="54" xfId="0" applyNumberFormat="1" applyFont="1" applyBorder="1" applyAlignment="1">
      <alignment horizontal="center"/>
    </xf>
    <xf numFmtId="164" fontId="0" fillId="3" borderId="53" xfId="0" applyNumberFormat="1" applyFill="1" applyBorder="1" applyAlignment="1">
      <alignment horizontal="center"/>
    </xf>
    <xf numFmtId="164" fontId="13" fillId="0" borderId="56" xfId="0" applyNumberFormat="1" applyFont="1" applyBorder="1" applyAlignment="1">
      <alignment horizontal="center"/>
    </xf>
    <xf numFmtId="164" fontId="0" fillId="3" borderId="55" xfId="0" applyNumberFormat="1" applyFill="1" applyBorder="1" applyAlignment="1">
      <alignment horizontal="center"/>
    </xf>
    <xf numFmtId="164" fontId="0" fillId="0" borderId="46" xfId="0" applyNumberFormat="1" applyBorder="1" applyAlignment="1">
      <alignment horizontal="center"/>
    </xf>
    <xf numFmtId="164" fontId="0" fillId="3" borderId="45" xfId="0" applyNumberFormat="1" applyFill="1" applyBorder="1" applyAlignment="1">
      <alignment horizontal="center"/>
    </xf>
    <xf numFmtId="164" fontId="1" fillId="2" borderId="62" xfId="0" applyNumberFormat="1" applyFont="1" applyFill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0" fillId="2" borderId="15" xfId="0" applyFill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7" xfId="0" applyBorder="1"/>
    <xf numFmtId="0" fontId="0" fillId="0" borderId="19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13" xfId="1" applyNumberFormat="1" applyFont="1" applyBorder="1" applyAlignment="1">
      <alignment horizontal="center"/>
    </xf>
    <xf numFmtId="3" fontId="0" fillId="0" borderId="14" xfId="1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8" fillId="0" borderId="0" xfId="0" applyFont="1"/>
    <xf numFmtId="0" fontId="0" fillId="0" borderId="18" xfId="0" applyBorder="1" applyAlignment="1"/>
    <xf numFmtId="0" fontId="1" fillId="0" borderId="3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64" fontId="13" fillId="0" borderId="44" xfId="0" applyNumberFormat="1" applyFont="1" applyBorder="1" applyAlignment="1">
      <alignment horizontal="center"/>
    </xf>
    <xf numFmtId="164" fontId="1" fillId="2" borderId="72" xfId="0" applyNumberFormat="1" applyFont="1" applyFill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164" fontId="14" fillId="3" borderId="15" xfId="0" applyNumberFormat="1" applyFont="1" applyFill="1" applyBorder="1" applyAlignment="1">
      <alignment horizontal="center"/>
    </xf>
    <xf numFmtId="164" fontId="16" fillId="3" borderId="15" xfId="0" applyNumberFormat="1" applyFont="1" applyFill="1" applyBorder="1" applyAlignment="1">
      <alignment horizontal="center"/>
    </xf>
    <xf numFmtId="164" fontId="17" fillId="3" borderId="15" xfId="0" applyNumberFormat="1" applyFont="1" applyFill="1" applyBorder="1" applyAlignment="1">
      <alignment horizontal="center"/>
    </xf>
    <xf numFmtId="0" fontId="0" fillId="0" borderId="0" xfId="0" quotePrefix="1"/>
    <xf numFmtId="0" fontId="0" fillId="0" borderId="15" xfId="0" applyBorder="1" applyAlignment="1"/>
    <xf numFmtId="164" fontId="0" fillId="0" borderId="0" xfId="0" applyNumberFormat="1"/>
    <xf numFmtId="0" fontId="0" fillId="0" borderId="67" xfId="0" applyBorder="1" applyAlignment="1">
      <alignment horizontal="left"/>
    </xf>
    <xf numFmtId="0" fontId="0" fillId="0" borderId="65" xfId="0" applyBorder="1" applyAlignment="1"/>
    <xf numFmtId="164" fontId="9" fillId="3" borderId="15" xfId="0" applyNumberFormat="1" applyFont="1" applyFill="1" applyBorder="1" applyAlignment="1">
      <alignment horizontal="center"/>
    </xf>
    <xf numFmtId="164" fontId="9" fillId="0" borderId="66" xfId="0" applyNumberFormat="1" applyFont="1" applyBorder="1" applyAlignment="1">
      <alignment horizontal="center"/>
    </xf>
    <xf numFmtId="0" fontId="0" fillId="0" borderId="66" xfId="0" applyBorder="1"/>
    <xf numFmtId="164" fontId="0" fillId="0" borderId="15" xfId="0" applyNumberFormat="1" applyBorder="1" applyAlignment="1"/>
    <xf numFmtId="3" fontId="0" fillId="2" borderId="16" xfId="0" applyNumberForma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18" fillId="0" borderId="10" xfId="0" applyNumberFormat="1" applyFont="1" applyBorder="1"/>
    <xf numFmtId="164" fontId="1" fillId="2" borderId="10" xfId="0" applyNumberFormat="1" applyFont="1" applyFill="1" applyBorder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left"/>
    </xf>
    <xf numFmtId="0" fontId="24" fillId="0" borderId="0" xfId="0" applyFont="1"/>
    <xf numFmtId="0" fontId="20" fillId="2" borderId="15" xfId="0" applyFont="1" applyFill="1" applyBorder="1" applyAlignment="1">
      <alignment horizontal="center"/>
    </xf>
    <xf numFmtId="164" fontId="1" fillId="3" borderId="15" xfId="0" applyNumberFormat="1" applyFont="1" applyFill="1" applyBorder="1" applyAlignment="1">
      <alignment horizontal="center"/>
    </xf>
    <xf numFmtId="3" fontId="1" fillId="3" borderId="0" xfId="0" applyNumberFormat="1" applyFont="1" applyFill="1" applyAlignment="1">
      <alignment horizontal="right"/>
    </xf>
    <xf numFmtId="9" fontId="1" fillId="3" borderId="0" xfId="2" applyFont="1" applyFill="1" applyAlignment="1">
      <alignment horizontal="left"/>
    </xf>
    <xf numFmtId="3" fontId="14" fillId="3" borderId="16" xfId="0" applyNumberFormat="1" applyFont="1" applyFill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0" fillId="0" borderId="0" xfId="0" applyBorder="1" applyAlignment="1"/>
    <xf numFmtId="3" fontId="1" fillId="2" borderId="16" xfId="0" applyNumberFormat="1" applyFont="1" applyFill="1" applyBorder="1" applyAlignment="1">
      <alignment horizontal="center"/>
    </xf>
    <xf numFmtId="3" fontId="14" fillId="2" borderId="16" xfId="0" applyNumberFormat="1" applyFont="1" applyFill="1" applyBorder="1" applyAlignment="1">
      <alignment horizontal="center"/>
    </xf>
    <xf numFmtId="3" fontId="16" fillId="2" borderId="16" xfId="0" applyNumberFormat="1" applyFont="1" applyFill="1" applyBorder="1" applyAlignment="1">
      <alignment horizontal="center"/>
    </xf>
    <xf numFmtId="3" fontId="1" fillId="3" borderId="16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1" fillId="3" borderId="15" xfId="0" applyFont="1" applyFill="1" applyBorder="1" applyAlignment="1">
      <alignment horizontal="center"/>
    </xf>
    <xf numFmtId="0" fontId="0" fillId="0" borderId="0" xfId="0" applyBorder="1"/>
    <xf numFmtId="3" fontId="1" fillId="2" borderId="18" xfId="0" applyNumberFormat="1" applyFont="1" applyFill="1" applyBorder="1" applyAlignment="1">
      <alignment horizontal="left"/>
    </xf>
    <xf numFmtId="3" fontId="0" fillId="2" borderId="18" xfId="0" applyNumberFormat="1" applyFill="1" applyBorder="1" applyAlignment="1">
      <alignment horizontal="left"/>
    </xf>
    <xf numFmtId="3" fontId="0" fillId="3" borderId="18" xfId="0" applyNumberFormat="1" applyFill="1" applyBorder="1" applyAlignment="1">
      <alignment horizontal="left"/>
    </xf>
    <xf numFmtId="3" fontId="17" fillId="3" borderId="18" xfId="0" applyNumberFormat="1" applyFont="1" applyFill="1" applyBorder="1" applyAlignment="1">
      <alignment horizontal="left"/>
    </xf>
    <xf numFmtId="3" fontId="1" fillId="3" borderId="18" xfId="0" applyNumberFormat="1" applyFont="1" applyFill="1" applyBorder="1" applyAlignment="1">
      <alignment horizontal="left"/>
    </xf>
    <xf numFmtId="0" fontId="0" fillId="0" borderId="0" xfId="0" applyFont="1" applyAlignment="1">
      <alignment horizontal="right"/>
    </xf>
    <xf numFmtId="3" fontId="16" fillId="3" borderId="16" xfId="0" applyNumberFormat="1" applyFont="1" applyFill="1" applyBorder="1" applyAlignment="1">
      <alignment horizontal="center"/>
    </xf>
    <xf numFmtId="3" fontId="17" fillId="3" borderId="16" xfId="0" applyNumberFormat="1" applyFont="1" applyFill="1" applyBorder="1" applyAlignment="1">
      <alignment horizontal="center"/>
    </xf>
    <xf numFmtId="0" fontId="1" fillId="2" borderId="73" xfId="0" applyFont="1" applyFill="1" applyBorder="1" applyAlignment="1">
      <alignment horizontal="center"/>
    </xf>
    <xf numFmtId="164" fontId="1" fillId="2" borderId="73" xfId="0" applyNumberFormat="1" applyFont="1" applyFill="1" applyBorder="1" applyAlignment="1">
      <alignment horizontal="center"/>
    </xf>
    <xf numFmtId="9" fontId="0" fillId="2" borderId="73" xfId="0" applyNumberFormat="1" applyFill="1" applyBorder="1" applyAlignment="1">
      <alignment horizontal="center"/>
    </xf>
    <xf numFmtId="3" fontId="0" fillId="0" borderId="73" xfId="1" applyNumberFormat="1" applyFont="1" applyBorder="1" applyAlignment="1">
      <alignment horizontal="center"/>
    </xf>
    <xf numFmtId="0" fontId="0" fillId="0" borderId="74" xfId="0" applyBorder="1" applyAlignment="1">
      <alignment horizontal="center"/>
    </xf>
    <xf numFmtId="0" fontId="1" fillId="2" borderId="75" xfId="0" applyFont="1" applyFill="1" applyBorder="1" applyAlignment="1">
      <alignment horizontal="center"/>
    </xf>
    <xf numFmtId="164" fontId="1" fillId="2" borderId="75" xfId="0" applyNumberFormat="1" applyFont="1" applyFill="1" applyBorder="1" applyAlignment="1">
      <alignment horizontal="center"/>
    </xf>
    <xf numFmtId="9" fontId="0" fillId="2" borderId="75" xfId="0" applyNumberFormat="1" applyFill="1" applyBorder="1" applyAlignment="1">
      <alignment horizontal="center"/>
    </xf>
    <xf numFmtId="3" fontId="0" fillId="0" borderId="75" xfId="1" applyNumberFormat="1" applyFont="1" applyBorder="1" applyAlignment="1">
      <alignment horizontal="center"/>
    </xf>
    <xf numFmtId="0" fontId="0" fillId="0" borderId="76" xfId="0" applyBorder="1" applyAlignment="1">
      <alignment horizontal="center"/>
    </xf>
    <xf numFmtId="0" fontId="1" fillId="2" borderId="77" xfId="0" applyFont="1" applyFill="1" applyBorder="1" applyAlignment="1">
      <alignment horizontal="center"/>
    </xf>
    <xf numFmtId="164" fontId="1" fillId="2" borderId="77" xfId="0" applyNumberFormat="1" applyFont="1" applyFill="1" applyBorder="1" applyAlignment="1">
      <alignment horizontal="center"/>
    </xf>
    <xf numFmtId="9" fontId="0" fillId="2" borderId="77" xfId="0" applyNumberFormat="1" applyFill="1" applyBorder="1" applyAlignment="1">
      <alignment horizontal="center"/>
    </xf>
    <xf numFmtId="3" fontId="0" fillId="0" borderId="77" xfId="1" applyNumberFormat="1" applyFont="1" applyBorder="1" applyAlignment="1">
      <alignment horizontal="center"/>
    </xf>
    <xf numFmtId="0" fontId="0" fillId="0" borderId="78" xfId="0" applyBorder="1" applyAlignment="1">
      <alignment horizontal="center"/>
    </xf>
    <xf numFmtId="9" fontId="0" fillId="2" borderId="79" xfId="0" applyNumberFormat="1" applyFill="1" applyBorder="1" applyAlignment="1">
      <alignment horizontal="center"/>
    </xf>
    <xf numFmtId="9" fontId="0" fillId="2" borderId="80" xfId="0" applyNumberFormat="1" applyFill="1" applyBorder="1" applyAlignment="1">
      <alignment horizontal="center"/>
    </xf>
    <xf numFmtId="9" fontId="0" fillId="2" borderId="81" xfId="0" applyNumberForma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0" fontId="21" fillId="0" borderId="0" xfId="0" applyFont="1"/>
    <xf numFmtId="0" fontId="20" fillId="2" borderId="16" xfId="0" applyFont="1" applyFill="1" applyBorder="1" applyAlignment="1">
      <alignment horizontal="center"/>
    </xf>
    <xf numFmtId="164" fontId="16" fillId="3" borderId="16" xfId="0" applyNumberFormat="1" applyFont="1" applyFill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164" fontId="17" fillId="3" borderId="16" xfId="0" applyNumberFormat="1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6" fillId="0" borderId="0" xfId="0" applyFont="1"/>
    <xf numFmtId="0" fontId="20" fillId="6" borderId="15" xfId="0" applyFont="1" applyFill="1" applyBorder="1" applyAlignment="1">
      <alignment horizontal="center"/>
    </xf>
    <xf numFmtId="0" fontId="14" fillId="6" borderId="15" xfId="0" applyFont="1" applyFill="1" applyBorder="1" applyAlignment="1">
      <alignment horizontal="center"/>
    </xf>
    <xf numFmtId="0" fontId="16" fillId="6" borderId="15" xfId="0" applyFont="1" applyFill="1" applyBorder="1" applyAlignment="1">
      <alignment horizontal="center"/>
    </xf>
    <xf numFmtId="3" fontId="1" fillId="6" borderId="16" xfId="0" applyNumberFormat="1" applyFont="1" applyFill="1" applyBorder="1" applyAlignment="1">
      <alignment horizontal="center"/>
    </xf>
    <xf numFmtId="3" fontId="1" fillId="6" borderId="18" xfId="0" applyNumberFormat="1" applyFont="1" applyFill="1" applyBorder="1" applyAlignment="1">
      <alignment horizontal="left"/>
    </xf>
    <xf numFmtId="3" fontId="14" fillId="6" borderId="16" xfId="0" applyNumberFormat="1" applyFont="1" applyFill="1" applyBorder="1" applyAlignment="1">
      <alignment horizontal="center"/>
    </xf>
    <xf numFmtId="3" fontId="0" fillId="6" borderId="18" xfId="0" applyNumberFormat="1" applyFill="1" applyBorder="1" applyAlignment="1">
      <alignment horizontal="left"/>
    </xf>
    <xf numFmtId="3" fontId="16" fillId="6" borderId="16" xfId="0" applyNumberFormat="1" applyFont="1" applyFill="1" applyBorder="1" applyAlignment="1">
      <alignment horizontal="center"/>
    </xf>
    <xf numFmtId="3" fontId="0" fillId="6" borderId="16" xfId="0" applyNumberFormat="1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11" fillId="0" borderId="0" xfId="0" applyFont="1"/>
    <xf numFmtId="164" fontId="16" fillId="3" borderId="16" xfId="0" applyNumberFormat="1" applyFont="1" applyFill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/>
    </xf>
    <xf numFmtId="164" fontId="17" fillId="3" borderId="16" xfId="0" applyNumberFormat="1" applyFont="1" applyFill="1" applyBorder="1" applyAlignment="1">
      <alignment horizontal="center"/>
    </xf>
    <xf numFmtId="164" fontId="14" fillId="3" borderId="16" xfId="0" applyNumberFormat="1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5" fillId="0" borderId="0" xfId="0" applyFont="1"/>
    <xf numFmtId="0" fontId="37" fillId="0" borderId="0" xfId="0" applyFont="1"/>
    <xf numFmtId="0" fontId="38" fillId="0" borderId="0" xfId="0" applyFont="1"/>
    <xf numFmtId="0" fontId="40" fillId="0" borderId="0" xfId="0" applyFont="1"/>
    <xf numFmtId="0" fontId="42" fillId="0" borderId="0" xfId="0" applyFont="1"/>
    <xf numFmtId="0" fontId="44" fillId="0" borderId="0" xfId="0" applyFont="1"/>
    <xf numFmtId="0" fontId="45" fillId="0" borderId="0" xfId="0" applyFont="1"/>
    <xf numFmtId="0" fontId="0" fillId="0" borderId="65" xfId="0" applyBorder="1" applyAlignment="1">
      <alignment horizontal="right"/>
    </xf>
    <xf numFmtId="164" fontId="14" fillId="3" borderId="16" xfId="0" applyNumberFormat="1" applyFont="1" applyFill="1" applyBorder="1" applyAlignment="1">
      <alignment horizontal="center"/>
    </xf>
    <xf numFmtId="164" fontId="17" fillId="3" borderId="16" xfId="0" applyNumberFormat="1" applyFont="1" applyFill="1" applyBorder="1" applyAlignment="1">
      <alignment horizontal="center"/>
    </xf>
    <xf numFmtId="164" fontId="17" fillId="3" borderId="18" xfId="0" applyNumberFormat="1" applyFont="1" applyFill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4" fillId="6" borderId="16" xfId="0" applyFont="1" applyFill="1" applyBorder="1" applyAlignment="1">
      <alignment horizontal="center"/>
    </xf>
    <xf numFmtId="0" fontId="14" fillId="6" borderId="18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14" fillId="3" borderId="16" xfId="0" applyNumberFormat="1" applyFont="1" applyFill="1" applyBorder="1" applyAlignment="1">
      <alignment horizontal="center"/>
    </xf>
    <xf numFmtId="164" fontId="14" fillId="3" borderId="18" xfId="0" applyNumberFormat="1" applyFont="1" applyFill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/>
    </xf>
    <xf numFmtId="164" fontId="1" fillId="3" borderId="18" xfId="0" applyNumberFormat="1" applyFont="1" applyFill="1" applyBorder="1" applyAlignment="1">
      <alignment horizontal="center"/>
    </xf>
    <xf numFmtId="164" fontId="16" fillId="3" borderId="16" xfId="0" applyNumberFormat="1" applyFont="1" applyFill="1" applyBorder="1" applyAlignment="1">
      <alignment horizontal="center"/>
    </xf>
    <xf numFmtId="164" fontId="16" fillId="3" borderId="18" xfId="0" applyNumberFormat="1" applyFont="1" applyFill="1" applyBorder="1" applyAlignment="1">
      <alignment horizontal="center"/>
    </xf>
    <xf numFmtId="0" fontId="19" fillId="5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6" fillId="6" borderId="16" xfId="0" applyFont="1" applyFill="1" applyBorder="1" applyAlignment="1">
      <alignment horizontal="center"/>
    </xf>
    <xf numFmtId="0" fontId="16" fillId="6" borderId="18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0" fillId="6" borderId="16" xfId="0" applyFont="1" applyFill="1" applyBorder="1" applyAlignment="1">
      <alignment horizontal="center"/>
    </xf>
    <xf numFmtId="0" fontId="20" fillId="6" borderId="18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165" fontId="12" fillId="0" borderId="8" xfId="0" applyNumberFormat="1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68" xfId="0" applyFont="1" applyFill="1" applyBorder="1" applyAlignment="1">
      <alignment horizontal="center"/>
    </xf>
    <xf numFmtId="0" fontId="0" fillId="2" borderId="6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/>
    </xf>
    <xf numFmtId="0" fontId="26" fillId="6" borderId="17" xfId="0" applyFont="1" applyFill="1" applyBorder="1" applyAlignment="1">
      <alignment horizontal="center"/>
    </xf>
    <xf numFmtId="0" fontId="26" fillId="6" borderId="18" xfId="0" applyFont="1" applyFill="1" applyBorder="1" applyAlignment="1">
      <alignment horizontal="center"/>
    </xf>
    <xf numFmtId="0" fontId="0" fillId="6" borderId="68" xfId="0" applyFont="1" applyFill="1" applyBorder="1" applyAlignment="1">
      <alignment horizontal="center"/>
    </xf>
    <xf numFmtId="0" fontId="0" fillId="6" borderId="82" xfId="0" applyFont="1" applyFill="1" applyBorder="1" applyAlignment="1">
      <alignment horizontal="center"/>
    </xf>
    <xf numFmtId="0" fontId="0" fillId="6" borderId="69" xfId="0" applyFont="1" applyFill="1" applyBorder="1" applyAlignment="1">
      <alignment horizontal="center"/>
    </xf>
    <xf numFmtId="0" fontId="28" fillId="6" borderId="16" xfId="0" applyFont="1" applyFill="1" applyBorder="1" applyAlignment="1">
      <alignment horizontal="center"/>
    </xf>
    <xf numFmtId="0" fontId="28" fillId="6" borderId="17" xfId="0" applyFont="1" applyFill="1" applyBorder="1" applyAlignment="1">
      <alignment horizontal="center"/>
    </xf>
    <xf numFmtId="0" fontId="28" fillId="6" borderId="18" xfId="0" applyFont="1" applyFill="1" applyBorder="1" applyAlignment="1">
      <alignment horizontal="center"/>
    </xf>
    <xf numFmtId="0" fontId="23" fillId="6" borderId="16" xfId="0" applyFont="1" applyFill="1" applyBorder="1" applyAlignment="1">
      <alignment horizontal="center"/>
    </xf>
    <xf numFmtId="0" fontId="23" fillId="6" borderId="17" xfId="0" applyFont="1" applyFill="1" applyBorder="1" applyAlignment="1">
      <alignment horizontal="center"/>
    </xf>
    <xf numFmtId="0" fontId="23" fillId="6" borderId="18" xfId="0" applyFont="1" applyFill="1" applyBorder="1" applyAlignment="1">
      <alignment horizontal="center"/>
    </xf>
    <xf numFmtId="0" fontId="43" fillId="6" borderId="16" xfId="0" applyFont="1" applyFill="1" applyBorder="1" applyAlignment="1">
      <alignment horizontal="center"/>
    </xf>
    <xf numFmtId="0" fontId="43" fillId="6" borderId="17" xfId="0" applyFont="1" applyFill="1" applyBorder="1" applyAlignment="1">
      <alignment horizontal="center"/>
    </xf>
    <xf numFmtId="0" fontId="43" fillId="6" borderId="18" xfId="0" applyFont="1" applyFill="1" applyBorder="1" applyAlignment="1">
      <alignment horizontal="center"/>
    </xf>
    <xf numFmtId="0" fontId="41" fillId="6" borderId="16" xfId="0" applyFont="1" applyFill="1" applyBorder="1" applyAlignment="1">
      <alignment horizontal="center"/>
    </xf>
    <xf numFmtId="0" fontId="41" fillId="6" borderId="17" xfId="0" applyFont="1" applyFill="1" applyBorder="1" applyAlignment="1">
      <alignment horizontal="center"/>
    </xf>
    <xf numFmtId="0" fontId="41" fillId="6" borderId="18" xfId="0" applyFont="1" applyFill="1" applyBorder="1" applyAlignment="1">
      <alignment horizontal="center"/>
    </xf>
    <xf numFmtId="0" fontId="27" fillId="6" borderId="16" xfId="0" applyFont="1" applyFill="1" applyBorder="1" applyAlignment="1">
      <alignment horizontal="center"/>
    </xf>
    <xf numFmtId="0" fontId="27" fillId="6" borderId="17" xfId="0" applyFont="1" applyFill="1" applyBorder="1" applyAlignment="1">
      <alignment horizontal="center"/>
    </xf>
    <xf numFmtId="0" fontId="27" fillId="6" borderId="18" xfId="0" applyFont="1" applyFill="1" applyBorder="1" applyAlignment="1">
      <alignment horizontal="center"/>
    </xf>
    <xf numFmtId="0" fontId="39" fillId="6" borderId="16" xfId="0" applyFont="1" applyFill="1" applyBorder="1" applyAlignment="1">
      <alignment horizontal="center"/>
    </xf>
    <xf numFmtId="0" fontId="39" fillId="6" borderId="17" xfId="0" applyFont="1" applyFill="1" applyBorder="1" applyAlignment="1">
      <alignment horizontal="center"/>
    </xf>
    <xf numFmtId="0" fontId="39" fillId="6" borderId="18" xfId="0" applyFont="1" applyFill="1" applyBorder="1" applyAlignment="1">
      <alignment horizontal="center"/>
    </xf>
    <xf numFmtId="0" fontId="36" fillId="6" borderId="16" xfId="0" applyFont="1" applyFill="1" applyBorder="1" applyAlignment="1">
      <alignment horizontal="center"/>
    </xf>
    <xf numFmtId="0" fontId="36" fillId="6" borderId="17" xfId="0" applyFont="1" applyFill="1" applyBorder="1" applyAlignment="1">
      <alignment horizontal="center"/>
    </xf>
    <xf numFmtId="0" fontId="36" fillId="6" borderId="18" xfId="0" applyFont="1" applyFill="1" applyBorder="1" applyAlignment="1">
      <alignment horizontal="center"/>
    </xf>
    <xf numFmtId="0" fontId="34" fillId="6" borderId="16" xfId="0" applyFont="1" applyFill="1" applyBorder="1" applyAlignment="1">
      <alignment horizontal="center"/>
    </xf>
    <xf numFmtId="0" fontId="34" fillId="6" borderId="17" xfId="0" applyFont="1" applyFill="1" applyBorder="1" applyAlignment="1">
      <alignment horizontal="center"/>
    </xf>
    <xf numFmtId="0" fontId="34" fillId="6" borderId="18" xfId="0" applyFont="1" applyFill="1" applyBorder="1" applyAlignment="1">
      <alignment horizontal="center"/>
    </xf>
    <xf numFmtId="0" fontId="33" fillId="6" borderId="16" xfId="0" applyFont="1" applyFill="1" applyBorder="1" applyAlignment="1">
      <alignment horizontal="center"/>
    </xf>
    <xf numFmtId="0" fontId="33" fillId="6" borderId="17" xfId="0" applyFont="1" applyFill="1" applyBorder="1" applyAlignment="1">
      <alignment horizontal="center"/>
    </xf>
    <xf numFmtId="0" fontId="33" fillId="6" borderId="18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1" fillId="6" borderId="18" xfId="0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171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9" tint="-0.24994659260841701"/>
      </font>
    </dxf>
    <dxf>
      <font>
        <color rgb="FF0099FF"/>
      </font>
    </dxf>
    <dxf>
      <font>
        <color rgb="FF666666"/>
      </font>
    </dxf>
    <dxf>
      <font>
        <color rgb="FF996600"/>
      </font>
    </dxf>
    <dxf>
      <font>
        <color rgb="FF3300CC"/>
      </font>
    </dxf>
    <dxf>
      <font>
        <color rgb="FFFF0000"/>
      </font>
    </dxf>
    <dxf>
      <font>
        <color rgb="FF008080"/>
      </font>
    </dxf>
    <dxf>
      <font>
        <color rgb="FFCC0099"/>
      </font>
    </dxf>
    <dxf>
      <font>
        <color rgb="FF808000"/>
      </font>
    </dxf>
    <dxf>
      <font>
        <color rgb="FF660033"/>
      </font>
    </dxf>
    <dxf>
      <font>
        <color rgb="FF008000"/>
      </font>
    </dxf>
    <dxf>
      <font>
        <color theme="9" tint="-0.24994659260841701"/>
      </font>
    </dxf>
    <dxf>
      <font>
        <color rgb="FF0099FF"/>
      </font>
    </dxf>
    <dxf>
      <font>
        <color rgb="FF666666"/>
      </font>
    </dxf>
    <dxf>
      <font>
        <color rgb="FF996600"/>
      </font>
    </dxf>
    <dxf>
      <font>
        <color rgb="FF3300CC"/>
      </font>
    </dxf>
    <dxf>
      <font>
        <color rgb="FFFF0000"/>
      </font>
    </dxf>
    <dxf>
      <font>
        <color rgb="FF008080"/>
      </font>
    </dxf>
    <dxf>
      <font>
        <color rgb="FFCC0099"/>
      </font>
    </dxf>
    <dxf>
      <font>
        <color rgb="FF808000"/>
      </font>
    </dxf>
    <dxf>
      <font>
        <color rgb="FF660033"/>
      </font>
    </dxf>
    <dxf>
      <font>
        <color rgb="FF008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8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66FF"/>
      <color rgb="FFCC6600"/>
      <color rgb="FF0000CC"/>
      <color rgb="FF009999"/>
      <color rgb="FFCC00CC"/>
      <color rgb="FF808000"/>
      <color rgb="FF008000"/>
      <color rgb="FF993366"/>
      <color rgb="FF00CC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0"/>
  <sheetViews>
    <sheetView tabSelected="1" topLeftCell="A5" zoomScaleNormal="100" workbookViewId="0">
      <selection activeCell="AB20" sqref="AB20"/>
    </sheetView>
  </sheetViews>
  <sheetFormatPr baseColWidth="10" defaultRowHeight="15" x14ac:dyDescent="0.25"/>
  <cols>
    <col min="1" max="1" width="21" customWidth="1"/>
    <col min="2" max="9" width="5.7109375" customWidth="1"/>
    <col min="10" max="13" width="5.42578125" customWidth="1"/>
    <col min="14" max="17" width="9.7109375" customWidth="1"/>
    <col min="18" max="18" width="10" customWidth="1"/>
    <col min="19" max="19" width="11.42578125" customWidth="1"/>
    <col min="20" max="23" width="10" customWidth="1"/>
    <col min="24" max="24" width="10.28515625" customWidth="1"/>
    <col min="25" max="25" width="21.42578125" customWidth="1"/>
    <col min="26" max="26" width="9" customWidth="1"/>
    <col min="27" max="27" width="10.28515625" customWidth="1"/>
    <col min="28" max="28" width="10.7109375" customWidth="1"/>
    <col min="29" max="29" width="9.7109375" customWidth="1"/>
  </cols>
  <sheetData>
    <row r="1" spans="1:26" ht="21" x14ac:dyDescent="0.35">
      <c r="A1" s="2" t="s">
        <v>270</v>
      </c>
      <c r="B1" s="1"/>
    </row>
    <row r="2" spans="1:26" x14ac:dyDescent="0.25">
      <c r="A2" t="s">
        <v>307</v>
      </c>
      <c r="S2" s="234" t="s">
        <v>142</v>
      </c>
      <c r="T2" s="234"/>
      <c r="U2" s="234" t="s">
        <v>136</v>
      </c>
      <c r="V2" s="234"/>
      <c r="W2" s="234"/>
      <c r="X2" s="234" t="s">
        <v>137</v>
      </c>
      <c r="Y2" s="234"/>
      <c r="Z2" s="84"/>
    </row>
    <row r="3" spans="1:26" x14ac:dyDescent="0.25">
      <c r="A3" t="s">
        <v>107</v>
      </c>
      <c r="S3" s="224" t="s">
        <v>173</v>
      </c>
      <c r="T3" s="224"/>
      <c r="U3" s="219" t="s">
        <v>139</v>
      </c>
      <c r="V3" s="219"/>
      <c r="W3" s="219"/>
      <c r="X3" s="219" t="s">
        <v>140</v>
      </c>
      <c r="Y3" s="219"/>
      <c r="Z3" s="84"/>
    </row>
    <row r="4" spans="1:26" x14ac:dyDescent="0.25">
      <c r="S4" s="224" t="s">
        <v>121</v>
      </c>
      <c r="T4" s="224"/>
      <c r="U4" s="219" t="s">
        <v>176</v>
      </c>
      <c r="V4" s="219"/>
      <c r="W4" s="219"/>
      <c r="X4" s="219" t="s">
        <v>140</v>
      </c>
      <c r="Y4" s="219"/>
      <c r="Z4" s="84"/>
    </row>
    <row r="5" spans="1:26" ht="15" customHeight="1" x14ac:dyDescent="0.25">
      <c r="C5" s="125" t="s">
        <v>202</v>
      </c>
      <c r="S5" s="224" t="s">
        <v>174</v>
      </c>
      <c r="T5" s="224"/>
      <c r="U5" s="219" t="s">
        <v>175</v>
      </c>
      <c r="V5" s="219"/>
      <c r="W5" s="219"/>
      <c r="X5" s="219" t="s">
        <v>140</v>
      </c>
      <c r="Y5" s="219"/>
      <c r="Z5" s="84"/>
    </row>
    <row r="6" spans="1:26" x14ac:dyDescent="0.25">
      <c r="B6" s="10"/>
      <c r="C6" s="8" t="s">
        <v>92</v>
      </c>
      <c r="G6" s="243" t="s">
        <v>20</v>
      </c>
      <c r="H6" s="244"/>
      <c r="I6" s="244"/>
      <c r="J6" s="244"/>
      <c r="K6" s="244"/>
      <c r="L6" s="245"/>
      <c r="N6" s="126" t="s">
        <v>207</v>
      </c>
      <c r="S6" s="224" t="s">
        <v>122</v>
      </c>
      <c r="T6" s="224"/>
      <c r="U6" s="219" t="s">
        <v>138</v>
      </c>
      <c r="V6" s="219"/>
      <c r="W6" s="219"/>
      <c r="X6" s="219" t="s">
        <v>141</v>
      </c>
      <c r="Y6" s="219"/>
      <c r="Z6" s="84"/>
    </row>
    <row r="7" spans="1:26" x14ac:dyDescent="0.25">
      <c r="B7" s="11"/>
      <c r="C7" t="s">
        <v>93</v>
      </c>
      <c r="G7" s="268" t="s">
        <v>149</v>
      </c>
      <c r="H7" s="269"/>
      <c r="M7" s="142" t="s">
        <v>255</v>
      </c>
      <c r="N7" s="83">
        <f>H165</f>
        <v>9</v>
      </c>
      <c r="O7" s="12"/>
      <c r="S7" s="224" t="s">
        <v>177</v>
      </c>
      <c r="T7" s="224"/>
      <c r="U7" s="219" t="s">
        <v>178</v>
      </c>
      <c r="V7" s="219"/>
      <c r="W7" s="219"/>
      <c r="X7" s="219" t="s">
        <v>267</v>
      </c>
      <c r="Y7" s="219"/>
      <c r="Z7" s="84"/>
    </row>
    <row r="8" spans="1:26" x14ac:dyDescent="0.25">
      <c r="A8" s="13"/>
      <c r="B8" s="11"/>
      <c r="M8" s="154" t="s">
        <v>257</v>
      </c>
      <c r="N8" s="196">
        <f>IF(G6="Archipel de l'Automne",Alinor!I12,IF(G6="Bordeciel",Bordeciel!I12,IF(G6="Cyrodiil",Cyrodiil!I12,IF(G6="Elsweyr",Elsweyr!I12,IF(G6="Hauteroche",Hauteroche!I12,IF(G6="Lenclume",Lenclume!I12,IF(G6="Marais Noir",Argonie!I12,IF(G6="Morrowind",Morrowind!I12,IF(G6="Orsinium",Orsinium!I12,IF(G6="Solstheim",Solstheim!I12,IF(G6="Val-Boisé",'Val-Boisé'!I12,"Province ?")))))))))))</f>
        <v>0</v>
      </c>
      <c r="O8" s="126" t="s">
        <v>266</v>
      </c>
      <c r="P8" s="8"/>
      <c r="S8" s="233" t="s">
        <v>242</v>
      </c>
      <c r="T8" s="233"/>
      <c r="U8" s="219" t="s">
        <v>260</v>
      </c>
      <c r="V8" s="219"/>
      <c r="W8" s="219"/>
      <c r="X8" s="219" t="s">
        <v>308</v>
      </c>
      <c r="Y8" s="219"/>
      <c r="Z8" s="185" t="s">
        <v>268</v>
      </c>
    </row>
    <row r="9" spans="1:26" x14ac:dyDescent="0.25">
      <c r="A9" s="13"/>
      <c r="B9" s="11"/>
      <c r="C9" t="s">
        <v>182</v>
      </c>
      <c r="H9" s="130" t="s">
        <v>181</v>
      </c>
      <c r="I9" s="131">
        <f>IF(N7&lt;N8,"Erreur !",N8*2.5/N7)</f>
        <v>0</v>
      </c>
      <c r="M9" s="142" t="s">
        <v>180</v>
      </c>
      <c r="N9" s="117">
        <f>N170</f>
        <v>0</v>
      </c>
      <c r="O9" t="s">
        <v>256</v>
      </c>
      <c r="S9" s="233" t="s">
        <v>243</v>
      </c>
      <c r="T9" s="233"/>
      <c r="U9" s="219" t="s">
        <v>261</v>
      </c>
      <c r="V9" s="219"/>
      <c r="W9" s="219"/>
      <c r="X9" s="219" t="s">
        <v>309</v>
      </c>
      <c r="Y9" s="219"/>
      <c r="Z9" s="185" t="s">
        <v>269</v>
      </c>
    </row>
    <row r="10" spans="1:26" x14ac:dyDescent="0.25">
      <c r="A10" s="13"/>
      <c r="O10" s="12"/>
      <c r="S10" s="233" t="s">
        <v>244</v>
      </c>
      <c r="T10" s="233"/>
      <c r="U10" s="219" t="s">
        <v>262</v>
      </c>
      <c r="V10" s="219"/>
      <c r="W10" s="219"/>
      <c r="X10" s="219" t="s">
        <v>310</v>
      </c>
      <c r="Y10" s="219"/>
      <c r="Z10" s="185" t="s">
        <v>272</v>
      </c>
    </row>
    <row r="11" spans="1:26" ht="15" customHeight="1" x14ac:dyDescent="0.25">
      <c r="A11" s="13"/>
      <c r="B11" s="125" t="str">
        <f>CONCATENATE("État des Marchandises ",G7," :")</f>
        <v>État des Marchandises 4E 217 :</v>
      </c>
      <c r="J11" s="220" t="s">
        <v>233</v>
      </c>
      <c r="K11" s="225"/>
      <c r="L11" s="225"/>
      <c r="M11" s="225"/>
      <c r="N11" s="226"/>
      <c r="O11" s="147">
        <f>25+N7*25</f>
        <v>250</v>
      </c>
      <c r="P11" s="220" t="s">
        <v>234</v>
      </c>
      <c r="Q11" s="226"/>
      <c r="U11" s="84"/>
      <c r="V11" s="84"/>
      <c r="W11" s="84"/>
      <c r="X11" s="84"/>
      <c r="Y11" s="84"/>
      <c r="Z11" s="84"/>
    </row>
    <row r="12" spans="1:26" ht="15" customHeight="1" x14ac:dyDescent="0.25">
      <c r="A12" s="9"/>
      <c r="B12" s="13"/>
      <c r="J12" s="237" t="s">
        <v>7</v>
      </c>
      <c r="K12" s="238"/>
      <c r="L12" s="237" t="s">
        <v>8</v>
      </c>
      <c r="M12" s="238"/>
      <c r="N12" s="140" t="s">
        <v>9</v>
      </c>
      <c r="O12" s="140" t="s">
        <v>169</v>
      </c>
      <c r="P12" s="140" t="s">
        <v>170</v>
      </c>
      <c r="Q12" s="140" t="s">
        <v>84</v>
      </c>
    </row>
    <row r="13" spans="1:26" x14ac:dyDescent="0.25">
      <c r="A13" s="9"/>
      <c r="B13" s="235" t="s">
        <v>210</v>
      </c>
      <c r="C13" s="235"/>
      <c r="D13" s="235"/>
      <c r="E13" s="235"/>
      <c r="F13" s="235"/>
      <c r="G13" s="235"/>
      <c r="H13" s="235"/>
      <c r="I13" s="236"/>
      <c r="J13" s="246">
        <f>IF(G6="Archipel de l'Automne",Alinor!G18,IF(G6="Bordeciel",Bordeciel!G18,IF(G6="Cyrodiil",Cyrodiil!G18,IF(G6="Elsweyr",Elsweyr!G18,IF(G6="Hauteroche",Hauteroche!G18,IF(G6="Lenclume",Lenclume!G18,IF(G6="Marais Noir",Argonie!G18,IF(G6="Morrowind",Morrowind!G18,IF(G6="Orsinium",Orsinium!G18,IF(G6="Solstheim",Solstheim!G18,IF(G6="Val-Boisé",'Val-Boisé'!G18,"Province ?")))))))))))</f>
        <v>64</v>
      </c>
      <c r="K13" s="247"/>
      <c r="L13" s="246">
        <f>IF(G6="Archipel de l'Automne",Alinor!H18,IF(G6="Bordeciel",Bordeciel!H18,IF(G6="Cyrodiil",Cyrodiil!H18,IF(G6="Elsweyr",Elsweyr!H18,IF(G6="Hauteroche",Hauteroche!H18,IF(G6="Lenclume",Lenclume!H18,IF(G6="Marais Noir",Argonie!H18,IF(G6="Morrowind",Morrowind!H18,IF(G6="Orsinium",Orsinium!H18,IF(G6="Solstheim",Solstheim!H18,IF(G6="Val-Boisé",'Val-Boisé'!H18,"Province ?")))))))))))</f>
        <v>28</v>
      </c>
      <c r="M13" s="247"/>
      <c r="N13" s="187">
        <f>IF($G$6="Archipel de l'Automne",Alinor!I18,IF($G$6="Bordeciel",Bordeciel!I18,IF($G$6="Cyrodiil",Cyrodiil!I18,IF($G$6="Elsweyr",Elsweyr!I18,IF($G$6="Hauteroche",Hauteroche!I18,IF($G$6="Lenclume",Lenclume!I18,IF($G$6="Marais Noir",Argonie!I18,IF($G$6="Morrowind",Morrowind!I18,IF($G$6="Orsinium",Orsinium!I18,IF($G$6="Solstheim",Solstheim!I18,IF($G$6="Val-Boisé",'Val-Boisé'!I18,"Province ?")))))))))))</f>
        <v>32</v>
      </c>
      <c r="O13" s="187">
        <f>IF($G$6="Archipel de l'Automne",Alinor!J18,IF($G$6="Bordeciel",Bordeciel!J18,IF($G$6="Cyrodiil",Cyrodiil!J18,IF($G$6="Elsweyr",Elsweyr!J18,IF($G$6="Hauteroche",Hauteroche!J18,IF($G$6="Lenclume",Lenclume!J18,IF($G$6="Marais Noir",Argonie!J18,IF($G$6="Morrowind",Morrowind!J18,IF($G$6="Orsinium",Orsinium!J18,IF($G$6="Solstheim",Solstheim!J18,IF($G$6="Val-Boisé",'Val-Boisé'!J18,"Province ?")))))))))))</f>
        <v>0</v>
      </c>
      <c r="P13" s="187">
        <f>IF($G$6="Archipel de l'Automne",Alinor!K18,IF($G$6="Bordeciel",Bordeciel!K18,IF($G$6="Cyrodiil",Cyrodiil!K18,IF($G$6="Elsweyr",Elsweyr!K18,IF($G$6="Hauteroche",Hauteroche!K18,IF($G$6="Lenclume",Lenclume!K18,IF($G$6="Marais Noir",Argonie!K18,IF($G$6="Morrowind",Morrowind!K18,IF($G$6="Orsinium",Orsinium!K18,IF($G$6="Solstheim",Solstheim!K18,IF($G$6="Val-Boisé",'Val-Boisé'!K18,"Province ?")))))))))))</f>
        <v>24</v>
      </c>
      <c r="Q13" s="187">
        <f>IF($G$6="Archipel de l'Automne",Alinor!L18,IF($G$6="Bordeciel",Bordeciel!L18,IF($G$6="Cyrodiil",Cyrodiil!L18,IF($G$6="Elsweyr",Elsweyr!L18,IF($G$6="Hauteroche",Hauteroche!L18,IF($G$6="Lenclume",Lenclume!L18,IF($G$6="Marais Noir",Argonie!L18,IF($G$6="Morrowind",Morrowind!L18,IF($G$6="Orsinium",Orsinium!L18,IF($G$6="Solstheim",Solstheim!L18,IF($G$6="Val-Boisé",'Val-Boisé'!L18,"Province ?")))))))))))</f>
        <v>12</v>
      </c>
      <c r="R13" s="127" t="s">
        <v>245</v>
      </c>
    </row>
    <row r="14" spans="1:26" x14ac:dyDescent="0.25">
      <c r="A14" s="9"/>
      <c r="B14" s="219" t="s">
        <v>208</v>
      </c>
      <c r="C14" s="219"/>
      <c r="D14" s="219"/>
      <c r="E14" s="219"/>
      <c r="F14" s="219"/>
      <c r="G14" s="219"/>
      <c r="H14" s="219"/>
      <c r="I14" s="220"/>
      <c r="J14" s="221">
        <f>IF(G6="Archipel de l'Automne",Alinor!G19,IF(G6="Bordeciel",Bordeciel!G19,IF(G6="Cyrodiil",Cyrodiil!G19,IF(G6="Elsweyr",Elsweyr!G19,IF(G6="Hauteroche",Hauteroche!G19,IF(G6="Lenclume",Lenclume!G19,IF(G6="Marais Noir",Argonie!G19,IF(G6="Morrowind",Morrowind!G19,IF(G6="Orsinium",Orsinium!G19,IF(G6="Solstheim",Solstheim!G19,IF(G6="Val-Boisé",'Val-Boisé'!G19,"Province ?")))))))))))</f>
        <v>0</v>
      </c>
      <c r="K14" s="222"/>
      <c r="L14" s="221">
        <f>IF(G6="Archipel de l'Automne",Alinor!H19,IF(G6="Bordeciel",Bordeciel!H19,IF(G6="Cyrodiil",Cyrodiil!H19,IF(G6="Elsweyr",Elsweyr!H19,IF(G6="Hauteroche",Hauteroche!H19,IF(G6="Lenclume",Lenclume!H19,IF(G6="Marais Noir",Argonie!H19,IF(G6="Morrowind",Morrowind!H19,IF(G6="Orsinium",Orsinium!H19,IF(G6="Solstheim",Solstheim!H19,IF(G6="Val-Boisé",'Val-Boisé'!H19,"Province ?")))))))))))</f>
        <v>0</v>
      </c>
      <c r="M14" s="222"/>
      <c r="N14" s="188">
        <f>IF($G$6="Archipel de l'Automne",Alinor!I19,IF($G$6="Bordeciel",Bordeciel!I19,IF($G$6="Cyrodiil",Cyrodiil!I19,IF($G$6="Elsweyr",Elsweyr!I19,IF($G$6="Hauteroche",Hauteroche!I19,IF($G$6="Lenclume",Lenclume!I19,IF($G$6="Marais Noir",Argonie!I19,IF($G$6="Morrowind",Morrowind!I19,IF($G$6="Orsinium",Orsinium!I19,IF($G$6="Solstheim",Solstheim!I19,IF($G$6="Val-Boisé",'Val-Boisé'!I19,"Province ?")))))))))))</f>
        <v>0</v>
      </c>
      <c r="O14" s="188">
        <f>IF($G$6="Archipel de l'Automne",Alinor!J19,IF($G$6="Bordeciel",Bordeciel!J19,IF($G$6="Cyrodiil",Cyrodiil!J19,IF($G$6="Elsweyr",Elsweyr!J19,IF($G$6="Hauteroche",Hauteroche!J19,IF($G$6="Lenclume",Lenclume!J19,IF($G$6="Marais Noir",Argonie!J19,IF($G$6="Morrowind",Morrowind!J19,IF($G$6="Orsinium",Orsinium!J19,IF($G$6="Solstheim",Solstheim!J19,IF($G$6="Val-Boisé",'Val-Boisé'!J19,"Province ?")))))))))))</f>
        <v>0</v>
      </c>
      <c r="P14" s="188">
        <f>IF($G$6="Archipel de l'Automne",Alinor!K19,IF($G$6="Bordeciel",Bordeciel!K19,IF($G$6="Cyrodiil",Cyrodiil!K19,IF($G$6="Elsweyr",Elsweyr!K19,IF($G$6="Hauteroche",Hauteroche!K19,IF($G$6="Lenclume",Lenclume!K19,IF($G$6="Marais Noir",Argonie!K19,IF($G$6="Morrowind",Morrowind!K19,IF($G$6="Orsinium",Orsinium!K19,IF($G$6="Solstheim",Solstheim!K19,IF($G$6="Val-Boisé",'Val-Boisé'!K19,"Province ?")))))))))))</f>
        <v>3</v>
      </c>
      <c r="Q14" s="188">
        <f>IF($G$6="Archipel de l'Automne",Alinor!L19,IF($G$6="Bordeciel",Bordeciel!L19,IF($G$6="Cyrodiil",Cyrodiil!L19,IF($G$6="Elsweyr",Elsweyr!L19,IF($G$6="Hauteroche",Hauteroche!L19,IF($G$6="Lenclume",Lenclume!L19,IF($G$6="Marais Noir",Argonie!L19,IF($G$6="Morrowind",Morrowind!L19,IF($G$6="Orsinium",Orsinium!L19,IF($G$6="Solstheim",Solstheim!L19,IF($G$6="Val-Boisé",'Val-Boisé'!L19,"Province ?")))))))))))</f>
        <v>0</v>
      </c>
      <c r="R14" s="127" t="s">
        <v>215</v>
      </c>
      <c r="T14" s="112"/>
    </row>
    <row r="15" spans="1:26" x14ac:dyDescent="0.25">
      <c r="A15" s="13"/>
      <c r="B15" s="219" t="s">
        <v>209</v>
      </c>
      <c r="C15" s="219"/>
      <c r="D15" s="219"/>
      <c r="E15" s="219"/>
      <c r="F15" s="219"/>
      <c r="G15" s="219"/>
      <c r="H15" s="219"/>
      <c r="I15" s="220"/>
      <c r="J15" s="239">
        <f>IF(G6="Archipel de l'Automne",Alinor!G20,IF(G6="Bordeciel",Bordeciel!G20,IF(G6="Cyrodiil",Cyrodiil!G20,IF(G6="Elsweyr",Elsweyr!G20,IF(G6="Hauteroche",Hauteroche!G20,IF(G6="Lenclume",Lenclume!G20,IF(G6="Marais Noir",Argonie!G20,IF(G6="Morrowind",Morrowind!G20,IF(G6="Orsinium",Orsinium!G20,IF(G6="Solstheim",Solstheim!G20,IF(G6="Val-Boisé",'Val-Boisé'!G20,"Province ?")))))))))))</f>
        <v>0</v>
      </c>
      <c r="K15" s="240"/>
      <c r="L15" s="239">
        <f>IF(G6="Archipel de l'Automne",Alinor!H20,IF(G6="Bordeciel",Bordeciel!H20,IF(G6="Cyrodiil",Cyrodiil!H20,IF(G6="Elsweyr",Elsweyr!H20,IF(G6="Hauteroche",Hauteroche!H20,IF(G6="Lenclume",Lenclume!H20,IF(G6="Marais Noir",Argonie!H20,IF(G6="Morrowind",Morrowind!H20,IF(G6="Orsinium",Orsinium!H20,IF(G6="Solstheim",Solstheim!H20,IF(G6="Val-Boisé",'Val-Boisé'!H20,"Province ?")))))))))))</f>
        <v>0</v>
      </c>
      <c r="M15" s="240"/>
      <c r="N15" s="189">
        <f>IF($G$6="Archipel de l'Automne",Alinor!I20,IF($G$6="Bordeciel",Bordeciel!I20,IF($G$6="Cyrodiil",Cyrodiil!I20,IF($G$6="Elsweyr",Elsweyr!I20,IF($G$6="Hauteroche",Hauteroche!I20,IF($G$6="Lenclume",Lenclume!I20,IF($G$6="Marais Noir",Argonie!I20,IF($G$6="Morrowind",Morrowind!I20,IF($G$6="Orsinium",Orsinium!I20,IF($G$6="Solstheim",Solstheim!I20,IF($G$6="Val-Boisé",'Val-Boisé'!I20,"Province ?")))))))))))</f>
        <v>8</v>
      </c>
      <c r="O15" s="189">
        <f>IF($G$6="Archipel de l'Automne",Alinor!J20,IF($G$6="Bordeciel",Bordeciel!J20,IF($G$6="Cyrodiil",Cyrodiil!J20,IF($G$6="Elsweyr",Elsweyr!J20,IF($G$6="Hauteroche",Hauteroche!J20,IF($G$6="Lenclume",Lenclume!J20,IF($G$6="Marais Noir",Argonie!J20,IF($G$6="Morrowind",Morrowind!J20,IF($G$6="Orsinium",Orsinium!J20,IF($G$6="Solstheim",Solstheim!J20,IF($G$6="Val-Boisé",'Val-Boisé'!J20,"Province ?")))))))))))</f>
        <v>0</v>
      </c>
      <c r="P15" s="189">
        <f>IF($G$6="Archipel de l'Automne",Alinor!K20,IF($G$6="Bordeciel",Bordeciel!K20,IF($G$6="Cyrodiil",Cyrodiil!K20,IF($G$6="Elsweyr",Elsweyr!K20,IF($G$6="Hauteroche",Hauteroche!K20,IF($G$6="Lenclume",Lenclume!K20,IF($G$6="Marais Noir",Argonie!K20,IF($G$6="Morrowind",Morrowind!K20,IF($G$6="Orsinium",Orsinium!K20,IF($G$6="Solstheim",Solstheim!K20,IF($G$6="Val-Boisé",'Val-Boisé'!K20,"Province ?")))))))))))</f>
        <v>0</v>
      </c>
      <c r="Q15" s="189">
        <f>IF($G$6="Archipel de l'Automne",Alinor!L20,IF($G$6="Bordeciel",Bordeciel!L20,IF($G$6="Cyrodiil",Cyrodiil!L20,IF($G$6="Elsweyr",Elsweyr!L20,IF($G$6="Hauteroche",Hauteroche!L20,IF($G$6="Lenclume",Lenclume!L20,IF($G$6="Marais Noir",Argonie!L20,IF($G$6="Morrowind",Morrowind!L20,IF($G$6="Orsinium",Orsinium!L20,IF($G$6="Solstheim",Solstheim!L20,IF($G$6="Val-Boisé",'Val-Boisé'!L20,"Province ?")))))))))))</f>
        <v>0</v>
      </c>
      <c r="R15" s="127" t="s">
        <v>214</v>
      </c>
    </row>
    <row r="16" spans="1:26" x14ac:dyDescent="0.25">
      <c r="B16" s="219" t="s">
        <v>190</v>
      </c>
      <c r="C16" s="219"/>
      <c r="D16" s="219"/>
      <c r="E16" s="219"/>
      <c r="F16" s="219"/>
      <c r="G16" s="219"/>
      <c r="H16" s="219"/>
      <c r="I16" s="220"/>
      <c r="J16" s="241"/>
      <c r="K16" s="242"/>
      <c r="L16" s="239">
        <f>IF(G6="Archipel de l'Automne",Alinor!H21,IF(G6="Bordeciel",Bordeciel!H21,IF(G6="Cyrodiil",Cyrodiil!H21,IF(G6="Elsweyr",Elsweyr!H21,IF(G6="Hauteroche",Hauteroche!H21,IF(G6="Lenclume",Lenclume!H21,IF(G6="Marais Noir",Argonie!H21,IF(G6="Morrowind",Morrowind!H21,IF(G6="Orsinium",Orsinium!H21,IF(G6="Solstheim",Solstheim!H21,IF(G6="Val-Boisé",'Val-Boisé'!H21,"Province ?")))))))))))</f>
        <v>0</v>
      </c>
      <c r="M16" s="240"/>
      <c r="N16" s="189">
        <f>IF($G$6="Archipel de l'Automne",Alinor!I21,IF($G$6="Bordeciel",Bordeciel!I21,IF($G$6="Cyrodiil",Cyrodiil!I21,IF($G$6="Elsweyr",Elsweyr!I21,IF($G$6="Hauteroche",Hauteroche!I21,IF($G$6="Lenclume",Lenclume!I21,IF($G$6="Marais Noir",Argonie!I21,IF($G$6="Morrowind",Morrowind!I21,IF($G$6="Orsinium",Orsinium!I21,IF($G$6="Solstheim",Solstheim!I21,IF($G$6="Val-Boisé",'Val-Boisé'!I21,"Province ?")))))))))))</f>
        <v>0</v>
      </c>
      <c r="O16" s="189">
        <f>IF($G$6="Archipel de l'Automne",Alinor!J21,IF($G$6="Bordeciel",Bordeciel!J21,IF($G$6="Cyrodiil",Cyrodiil!J21,IF($G$6="Elsweyr",Elsweyr!J21,IF($G$6="Hauteroche",Hauteroche!J21,IF($G$6="Lenclume",Lenclume!J21,IF($G$6="Marais Noir",Argonie!J21,IF($G$6="Morrowind",Morrowind!J21,IF($G$6="Orsinium",Orsinium!J21,IF($G$6="Solstheim",Solstheim!J21,IF($G$6="Val-Boisé",'Val-Boisé'!J21,"Province ?")))))))))))</f>
        <v>0</v>
      </c>
      <c r="P16" s="189">
        <f>IF($G$6="Archipel de l'Automne",Alinor!K21,IF($G$6="Bordeciel",Bordeciel!K21,IF($G$6="Cyrodiil",Cyrodiil!K21,IF($G$6="Elsweyr",Elsweyr!K21,IF($G$6="Hauteroche",Hauteroche!K21,IF($G$6="Lenclume",Lenclume!K21,IF($G$6="Marais Noir",Argonie!K21,IF($G$6="Morrowind",Morrowind!K21,IF($G$6="Orsinium",Orsinium!K21,IF($G$6="Solstheim",Solstheim!K21,IF($G$6="Val-Boisé",'Val-Boisé'!K21,"Province ?")))))))))))</f>
        <v>0</v>
      </c>
      <c r="Q16" s="189">
        <f>IF($G$6="Archipel de l'Automne",Alinor!L21,IF($G$6="Bordeciel",Bordeciel!L21,IF($G$6="Cyrodiil",Cyrodiil!L21,IF($G$6="Elsweyr",Elsweyr!L21,IF($G$6="Hauteroche",Hauteroche!L21,IF($G$6="Lenclume",Lenclume!L21,IF($G$6="Marais Noir",Argonie!L21,IF($G$6="Morrowind",Morrowind!L21,IF($G$6="Orsinium",Orsinium!L21,IF($G$6="Solstheim",Solstheim!L21,IF($G$6="Val-Boisé",'Val-Boisé'!L21,"Province ?")))))))))))</f>
        <v>0</v>
      </c>
      <c r="R16" s="127" t="s">
        <v>213</v>
      </c>
    </row>
    <row r="17" spans="2:19" x14ac:dyDescent="0.25">
      <c r="B17" s="219" t="s">
        <v>194</v>
      </c>
      <c r="C17" s="219"/>
      <c r="D17" s="219"/>
      <c r="E17" s="219"/>
      <c r="F17" s="219"/>
      <c r="G17" s="219"/>
      <c r="H17" s="219"/>
      <c r="I17" s="220"/>
      <c r="J17" s="220"/>
      <c r="K17" s="225"/>
      <c r="L17" s="225"/>
      <c r="M17" s="225"/>
      <c r="N17" s="225"/>
      <c r="O17" s="226"/>
      <c r="P17" s="189">
        <f>IF($G$6="Archipel de l'Automne",Alinor!K22,IF($G$6="Bordeciel",Bordeciel!K22,IF($G$6="Cyrodiil",Cyrodiil!K22,IF($G$6="Elsweyr",Elsweyr!K22,IF($G$6="Hauteroche",Hauteroche!K22,IF($G$6="Lenclume",Lenclume!K22,IF($G$6="Marais Noir",Argonie!K22,IF($G$6="Morrowind",Morrowind!K22,IF($G$6="Orsinium",Orsinium!K22,IF($G$6="Solstheim",Solstheim!K22,IF($G$6="Val-Boisé",'Val-Boisé'!K22,"Province ?")))))))))))</f>
        <v>27</v>
      </c>
      <c r="Q17" s="96"/>
      <c r="R17" s="127" t="s">
        <v>216</v>
      </c>
    </row>
    <row r="18" spans="2:19" x14ac:dyDescent="0.25">
      <c r="B18" s="219" t="s">
        <v>193</v>
      </c>
      <c r="C18" s="219"/>
      <c r="D18" s="219"/>
      <c r="E18" s="219"/>
      <c r="F18" s="219"/>
      <c r="G18" s="219"/>
      <c r="H18" s="219"/>
      <c r="I18" s="220"/>
      <c r="J18" s="215">
        <f>J13+J14-J15</f>
        <v>64</v>
      </c>
      <c r="K18" s="216"/>
      <c r="L18" s="215">
        <f>L13+L14-L15-L16</f>
        <v>28</v>
      </c>
      <c r="M18" s="216"/>
      <c r="N18" s="111">
        <f>N13+N14-N15-N16</f>
        <v>24</v>
      </c>
      <c r="O18" s="111">
        <f>O13+O14-O15-O16</f>
        <v>0</v>
      </c>
      <c r="P18" s="111">
        <f>P13+P14-P15-P16-P17</f>
        <v>0</v>
      </c>
      <c r="Q18" s="111">
        <f>Q13+Q14-Q15-Q16-Q17</f>
        <v>12</v>
      </c>
    </row>
    <row r="19" spans="2:19" x14ac:dyDescent="0.25">
      <c r="B19" s="219" t="s">
        <v>218</v>
      </c>
      <c r="C19" s="219"/>
      <c r="D19" s="219"/>
      <c r="E19" s="219"/>
      <c r="F19" s="219"/>
      <c r="G19" s="219"/>
      <c r="H19" s="219"/>
      <c r="I19" s="220"/>
      <c r="J19" s="231">
        <f>3*$N8</f>
        <v>0</v>
      </c>
      <c r="K19" s="232"/>
      <c r="L19" s="231">
        <f>3*$N8</f>
        <v>0</v>
      </c>
      <c r="M19" s="232"/>
      <c r="N19" s="110">
        <f>3*$N8</f>
        <v>0</v>
      </c>
      <c r="O19" s="110">
        <f t="shared" ref="O19:Q19" si="0">3*$N8</f>
        <v>0</v>
      </c>
      <c r="P19" s="110">
        <f t="shared" si="0"/>
        <v>0</v>
      </c>
      <c r="Q19" s="110">
        <f t="shared" si="0"/>
        <v>0</v>
      </c>
    </row>
    <row r="20" spans="2:19" x14ac:dyDescent="0.25">
      <c r="B20" s="219" t="s">
        <v>128</v>
      </c>
      <c r="C20" s="219"/>
      <c r="D20" s="219"/>
      <c r="E20" s="219"/>
      <c r="F20" s="219"/>
      <c r="G20" s="219"/>
      <c r="H20" s="219"/>
      <c r="I20" s="220"/>
      <c r="J20" s="239">
        <f>IF(G6="Archipel de l'Automne",Alinor!G25,IF(G6="Bordeciel",Bordeciel!G25,IF(G6="Cyrodiil",Cyrodiil!G25,IF(G6="Elsweyr",Elsweyr!G25,IF(G6="Hauteroche",Hauteroche!G25,IF(G6="Lenclume",Lenclume!G25,IF(G6="Marais Noir",Argonie!G25,IF(G6="Morrowind",Morrowind!G25,IF(G6="Orsinium",Orsinium!G25,IF(G6="Solstheim",Solstheim!G25,IF(G6="Val-Boisé",'Val-Boisé'!G25,"Province ?")))))))))))</f>
        <v>60</v>
      </c>
      <c r="K20" s="240"/>
      <c r="L20" s="116" t="s">
        <v>196</v>
      </c>
      <c r="M20" s="118">
        <f>SMALL(N164:O164, 1)</f>
        <v>60</v>
      </c>
      <c r="N20" s="115" t="s">
        <v>135</v>
      </c>
      <c r="O20" s="148"/>
      <c r="P20" s="119"/>
      <c r="Q20" s="85"/>
    </row>
    <row r="21" spans="2:19" x14ac:dyDescent="0.25">
      <c r="B21" s="219" t="s">
        <v>129</v>
      </c>
      <c r="C21" s="219"/>
      <c r="D21" s="219"/>
      <c r="E21" s="219"/>
      <c r="F21" s="219"/>
      <c r="G21" s="219"/>
      <c r="H21" s="219"/>
      <c r="I21" s="220"/>
      <c r="J21" s="227">
        <f>B161</f>
        <v>64</v>
      </c>
      <c r="K21" s="228"/>
      <c r="L21" s="227">
        <f>D161</f>
        <v>28</v>
      </c>
      <c r="M21" s="228"/>
      <c r="N21" s="109">
        <f>F161</f>
        <v>32</v>
      </c>
      <c r="O21" s="109">
        <f>H161</f>
        <v>0</v>
      </c>
      <c r="P21" s="109">
        <f>J161</f>
        <v>24</v>
      </c>
      <c r="Q21" s="109">
        <f>L161</f>
        <v>12</v>
      </c>
    </row>
    <row r="22" spans="2:19" x14ac:dyDescent="0.25">
      <c r="B22" s="219" t="s">
        <v>235</v>
      </c>
      <c r="C22" s="219"/>
      <c r="D22" s="219"/>
      <c r="E22" s="219"/>
      <c r="F22" s="219"/>
      <c r="G22" s="219"/>
      <c r="H22" s="219"/>
      <c r="I22" s="220"/>
      <c r="J22" s="231">
        <f>IF(G6="Archipel de l'Automne",Alinor!G27,IF(G6="Bordeciel",Bordeciel!G27,IF(G6="Cyrodiil",Cyrodiil!G27,IF(G6="Elsweyr",Elsweyr!G27,IF(G6="Hauteroche",Hauteroche!G27,IF(G6="Lenclume",Lenclume!G27,IF(G6="Marais Noir",Argonie!G27,IF(G6="Morrowind",Morrowind!G27,IF(G6="Orsinium",Orsinium!G27,IF(G6="Solstheim",Solstheim!G27,IF(G6="Val-Boisé",'Val-Boisé'!G27,"Province ?")))))))))))</f>
        <v>0</v>
      </c>
      <c r="K22" s="232"/>
      <c r="L22" s="231">
        <f>IF(G6="Archipel de l'Automne",Alinor!H27,IF(G6="Bordeciel",Bordeciel!H27,IF(G6="Cyrodiil",Cyrodiil!H27,IF(G6="Elsweyr",Elsweyr!H27,IF(G6="Hauteroche",Hauteroche!H27,IF(G6="Lenclume",Lenclume!H27,IF(G6="Marais Noir",Argonie!H27,IF(G6="Morrowind",Morrowind!H27,IF(G6="Orsinium",Orsinium!H27,IF(G6="Solstheim",Solstheim!H27,IF(G6="Val-Boisé",'Val-Boisé'!H27,"Province ?")))))))))))</f>
        <v>0</v>
      </c>
      <c r="M22" s="232"/>
      <c r="N22" s="110">
        <f>IF(G6="Archipel de l'Automne",Alinor!I27,IF(G6="Bordeciel",Bordeciel!I27,IF(G6="Cyrodiil",Cyrodiil!I27,IF(G6="Elsweyr",Elsweyr!I27,IF(G6="Hauteroche",Hauteroche!I27,IF(G6="Lenclume",Lenclume!I27,IF(G6="Marais Noir",Argonie!I27,IF(G6="Morrowind",Morrowind!I27,IF(G6="Orsinium",Orsinium!I27,IF(G6="Solstheim",Solstheim!I27,IF(G6="Val-Boisé",'Val-Boisé'!I27,"Province ?")))))))))))</f>
        <v>0</v>
      </c>
      <c r="O22" s="110">
        <f>IF(G6="Archipel de l'Automne",Alinor!J27,IF(G6="Bordeciel",Bordeciel!J27,IF(G6="Cyrodiil",Cyrodiil!J27,IF(G6="Elsweyr",Elsweyr!J27,IF(G6="Hauteroche",Hauteroche!J27,IF(G6="Lenclume",Lenclume!J27,IF(G6="Marais Noir",Argonie!J27,IF(G6="Morrowind",Morrowind!J27,IF(G6="Orsinium",Orsinium!J27,IF(G6="Solstheim",Solstheim!J27,IF(G6="Val-Boisé",'Val-Boisé'!J27,"Province ?")))))))))))</f>
        <v>0</v>
      </c>
      <c r="P22" s="110">
        <f>IF(G6="Archipel de l'Automne",Alinor!K27,IF(G6="Bordeciel",Bordeciel!K27,IF(G6="Cyrodiil",Cyrodiil!K27,IF(G6="Elsweyr",Elsweyr!K27,IF(G6="Hauteroche",Hauteroche!K27,IF(G6="Lenclume",Lenclume!K27,IF(G6="Marais Noir",Argonie!K27,IF(G6="Morrowind",Morrowind!K27,IF(G6="Orsinium",Orsinium!K27,IF(G6="Solstheim",Solstheim!K27,IF(G6="Val-Boisé",'Val-Boisé'!K27,"Province ?")))))))))))</f>
        <v>0</v>
      </c>
      <c r="Q22" s="110">
        <f>IF(G6="Archipel de l'Automne",Alinor!L27,IF(G6="Bordeciel",Bordeciel!L27,IF(G6="Cyrodiil",Cyrodiil!L27,IF(G6="Elsweyr",Elsweyr!L27,IF(G6="Hauteroche",Hauteroche!L27,IF(G6="Lenclume",Lenclume!L27,IF(G6="Marais Noir",Argonie!L27,IF(G6="Morrowind",Morrowind!L27,IF(G6="Orsinium",Orsinium!L27,IF(G6="Solstheim",Solstheim!L27,IF(G6="Val-Boisé",'Val-Boisé'!L27,"Province ?")))))))))))</f>
        <v>0</v>
      </c>
      <c r="R22" s="127" t="s">
        <v>237</v>
      </c>
    </row>
    <row r="23" spans="2:19" x14ac:dyDescent="0.25">
      <c r="B23" s="235" t="s">
        <v>217</v>
      </c>
      <c r="C23" s="235"/>
      <c r="D23" s="235"/>
      <c r="E23" s="235"/>
      <c r="F23" s="235"/>
      <c r="G23" s="235"/>
      <c r="H23" s="235"/>
      <c r="I23" s="236"/>
      <c r="J23" s="229">
        <f>J18-J19+J21-J20-J22</f>
        <v>68</v>
      </c>
      <c r="K23" s="270"/>
      <c r="L23" s="229">
        <f>L18-L19+L21-L22</f>
        <v>56</v>
      </c>
      <c r="M23" s="230"/>
      <c r="N23" s="129">
        <f>N18-N19+N21-N22</f>
        <v>56</v>
      </c>
      <c r="O23" s="129">
        <f>O18-O19+O21-O22</f>
        <v>0</v>
      </c>
      <c r="P23" s="129">
        <f>P18-P19+P21-P22</f>
        <v>24</v>
      </c>
      <c r="Q23" s="129">
        <f>Q18-Q19+Q21-Q22</f>
        <v>24</v>
      </c>
    </row>
    <row r="24" spans="2:19" x14ac:dyDescent="0.25">
      <c r="B24" s="84"/>
      <c r="C24" s="84"/>
      <c r="D24" s="84"/>
      <c r="E24" s="84"/>
      <c r="F24" s="84"/>
      <c r="G24" s="84"/>
      <c r="H24" s="84"/>
      <c r="I24" s="84"/>
    </row>
    <row r="25" spans="2:19" ht="15" customHeight="1" x14ac:dyDescent="0.25">
      <c r="C25" s="146" t="str">
        <f>CONCATENATE("Historique des finances du 1er Primétoile de l'année précédente au 1er Primétoile de l'année ",G7," :")</f>
        <v>Historique des finances du 1er Primétoile de l'année précédente au 1er Primétoile de l'année 4E 217 :</v>
      </c>
      <c r="D25" s="84"/>
      <c r="E25" s="84"/>
      <c r="F25" s="84"/>
      <c r="G25" s="84"/>
      <c r="H25" s="84"/>
      <c r="S25" s="176" t="s">
        <v>265</v>
      </c>
    </row>
    <row r="26" spans="2:19" x14ac:dyDescent="0.25">
      <c r="I26" s="236" t="s">
        <v>232</v>
      </c>
      <c r="J26" s="266"/>
      <c r="K26" s="266"/>
      <c r="L26" s="266"/>
      <c r="M26" s="266"/>
      <c r="N26" s="266"/>
      <c r="O26" s="267"/>
      <c r="P26" s="190">
        <f>IF($G$6="Archipel de l'Automne",Alinor!G31,IF($G$6="Bordeciel",Bordeciel!G31,IF($G$6="Cyrodiil",Cyrodiil!G31,IF($G$6="Elsweyr",Elsweyr!G31,IF($G$6="Hauteroche",Hauteroche!G31,IF($G$6="Lenclume",Lenclume!G31,IF($G$6="Marais Noir",Argonie!G31,IF($G$6="Morrowind",Morrowind!G31,IF($G$6="Orsinium",Orsinium!G31,IF($G$6="Solstheim",Solstheim!G31,IF($G$6="Val-Boisé",'Val-Boisé'!G31,"Province ?")))))))))))</f>
        <v>108750</v>
      </c>
      <c r="Q26" s="191" t="s">
        <v>131</v>
      </c>
    </row>
    <row r="27" spans="2:19" x14ac:dyDescent="0.25">
      <c r="I27" s="220" t="s">
        <v>241</v>
      </c>
      <c r="J27" s="225"/>
      <c r="K27" s="225"/>
      <c r="L27" s="225"/>
      <c r="M27" s="225"/>
      <c r="N27" s="225"/>
      <c r="O27" s="226"/>
      <c r="P27" s="192">
        <f>IF($G$6="Archipel de l'Automne",Alinor!G32,IF($G$6="Bordeciel",Bordeciel!G32,IF($G$6="Cyrodiil",Cyrodiil!G32,IF($G$6="Elsweyr",Elsweyr!G32,IF($G$6="Hauteroche",Hauteroche!G32,IF($G$6="Lenclume",Lenclume!G32,IF($G$6="Marais Noir",Argonie!G32,IF($G$6="Morrowind",Morrowind!G32,IF($G$6="Orsinium",Orsinium!G32,IF($G$6="Solstheim",Solstheim!G32,IF($G$6="Val-Boisé",'Val-Boisé'!G32,"Province ?")))))))))))</f>
        <v>0</v>
      </c>
      <c r="Q27" s="193" t="s">
        <v>131</v>
      </c>
      <c r="R27" s="127" t="s">
        <v>228</v>
      </c>
    </row>
    <row r="28" spans="2:19" x14ac:dyDescent="0.25">
      <c r="I28" s="220" t="s">
        <v>240</v>
      </c>
      <c r="J28" s="225"/>
      <c r="K28" s="225"/>
      <c r="L28" s="225"/>
      <c r="M28" s="225"/>
      <c r="N28" s="225"/>
      <c r="O28" s="226"/>
      <c r="P28" s="192">
        <f>IF($G$6="Archipel de l'Automne",Alinor!G33,IF($G$6="Bordeciel",Bordeciel!G33,IF($G$6="Cyrodiil",Cyrodiil!G33,IF($G$6="Elsweyr",Elsweyr!G33,IF($G$6="Hauteroche",Hauteroche!G33,IF($G$6="Lenclume",Lenclume!G33,IF($G$6="Marais Noir",Argonie!G33,IF($G$6="Morrowind",Morrowind!G33,IF($G$6="Orsinium",Orsinium!G33,IF($G$6="Solstheim",Solstheim!G33,IF($G$6="Val-Boisé",'Val-Boisé'!G33,"Province ?")))))))))))</f>
        <v>0</v>
      </c>
      <c r="Q28" s="193" t="s">
        <v>131</v>
      </c>
      <c r="R28" s="127" t="s">
        <v>224</v>
      </c>
    </row>
    <row r="29" spans="2:19" x14ac:dyDescent="0.25">
      <c r="I29" s="220" t="s">
        <v>239</v>
      </c>
      <c r="J29" s="225"/>
      <c r="K29" s="225"/>
      <c r="L29" s="225"/>
      <c r="M29" s="225"/>
      <c r="N29" s="225"/>
      <c r="O29" s="226"/>
      <c r="P29" s="192">
        <f>IF($G$6="Archipel de l'Automne",Alinor!G34,IF($G$6="Bordeciel",Bordeciel!G34,IF($G$6="Cyrodiil",Cyrodiil!G34,IF($G$6="Elsweyr",Elsweyr!G34,IF($G$6="Hauteroche",Hauteroche!G34,IF($G$6="Lenclume",Lenclume!G34,IF($G$6="Marais Noir",Argonie!G34,IF($G$6="Morrowind",Morrowind!G34,IF($G$6="Orsinium",Orsinium!G34,IF($G$6="Solstheim",Solstheim!G34,IF($G$6="Val-Boisé",'Val-Boisé'!G34,"Province ?")))))))))))</f>
        <v>0</v>
      </c>
      <c r="Q29" s="193" t="s">
        <v>131</v>
      </c>
      <c r="R29" s="127" t="s">
        <v>223</v>
      </c>
    </row>
    <row r="30" spans="2:19" x14ac:dyDescent="0.25">
      <c r="I30" s="220" t="s">
        <v>238</v>
      </c>
      <c r="J30" s="225"/>
      <c r="K30" s="225"/>
      <c r="L30" s="225"/>
      <c r="M30" s="225"/>
      <c r="N30" s="225"/>
      <c r="O30" s="226"/>
      <c r="P30" s="194">
        <f>IF($G$6="Archipel de l'Automne",Alinor!G35,IF($G$6="Bordeciel",Bordeciel!G35,IF($G$6="Cyrodiil",Cyrodiil!G35,IF($G$6="Elsweyr",Elsweyr!G35,IF($G$6="Hauteroche",Hauteroche!G35,IF($G$6="Lenclume",Lenclume!G35,IF($G$6="Marais Noir",Argonie!G35,IF($G$6="Morrowind",Morrowind!G35,IF($G$6="Orsinium",Orsinium!G35,IF($G$6="Solstheim",Solstheim!G35,IF($G$6="Val-Boisé",'Val-Boisé'!G35,"Province ?")))))))))))</f>
        <v>0</v>
      </c>
      <c r="Q30" s="193" t="s">
        <v>131</v>
      </c>
      <c r="R30" s="127" t="s">
        <v>221</v>
      </c>
    </row>
    <row r="31" spans="2:19" x14ac:dyDescent="0.25">
      <c r="I31" s="220" t="s">
        <v>229</v>
      </c>
      <c r="J31" s="225"/>
      <c r="K31" s="225"/>
      <c r="L31" s="225"/>
      <c r="M31" s="225"/>
      <c r="N31" s="225"/>
      <c r="O31" s="226"/>
      <c r="P31" s="194">
        <f>IF($G$6="Archipel de l'Automne",Alinor!G36,IF($G$6="Bordeciel",Bordeciel!G36,IF($G$6="Cyrodiil",Cyrodiil!G36,IF($G$6="Elsweyr",Elsweyr!G36,IF($G$6="Hauteroche",Hauteroche!G36,IF($G$6="Lenclume",Lenclume!G36,IF($G$6="Marais Noir",Argonie!G36,IF($G$6="Morrowind",Morrowind!G36,IF($G$6="Orsinium",Orsinium!G36,IF($G$6="Solstheim",Solstheim!G36,IF($G$6="Val-Boisé",'Val-Boisé'!G36,"Province ?")))))))))))</f>
        <v>0</v>
      </c>
      <c r="Q31" s="193" t="s">
        <v>131</v>
      </c>
      <c r="R31" s="127" t="s">
        <v>225</v>
      </c>
    </row>
    <row r="32" spans="2:19" x14ac:dyDescent="0.25">
      <c r="I32" s="220" t="s">
        <v>219</v>
      </c>
      <c r="J32" s="225"/>
      <c r="K32" s="225"/>
      <c r="L32" s="225"/>
      <c r="M32" s="225"/>
      <c r="N32" s="225"/>
      <c r="O32" s="226"/>
      <c r="P32" s="194">
        <f>IF($G$6="Archipel de l'Automne",Alinor!G37,IF($G$6="Bordeciel",Bordeciel!G37,IF($G$6="Cyrodiil",Cyrodiil!G37,IF($G$6="Elsweyr",Elsweyr!G37,IF($G$6="Hauteroche",Hauteroche!G37,IF($G$6="Lenclume",Lenclume!G37,IF($G$6="Marais Noir",Argonie!G37,IF($G$6="Morrowind",Morrowind!G37,IF($G$6="Orsinium",Orsinium!G37,IF($G$6="Solstheim",Solstheim!G37,IF($G$6="Val-Boisé",'Val-Boisé'!G37,"Province ?")))))))))))</f>
        <v>0</v>
      </c>
      <c r="Q32" s="193" t="s">
        <v>131</v>
      </c>
      <c r="R32" s="127" t="s">
        <v>226</v>
      </c>
    </row>
    <row r="33" spans="4:26" x14ac:dyDescent="0.25">
      <c r="I33" s="220" t="s">
        <v>220</v>
      </c>
      <c r="J33" s="225"/>
      <c r="K33" s="225"/>
      <c r="L33" s="225"/>
      <c r="M33" s="225"/>
      <c r="N33" s="225"/>
      <c r="O33" s="226"/>
      <c r="P33" s="194">
        <f>IF($G$6="Archipel de l'Automne",Alinor!G38,IF($G$6="Bordeciel",Bordeciel!G38,IF($G$6="Cyrodiil",Cyrodiil!G38,IF($G$6="Elsweyr",Elsweyr!G38,IF($G$6="Hauteroche",Hauteroche!G38,IF($G$6="Lenclume",Lenclume!G38,IF($G$6="Marais Noir",Argonie!G38,IF($G$6="Morrowind",Morrowind!G38,IF($G$6="Orsinium",Orsinium!G38,IF($G$6="Solstheim",Solstheim!G38,IF($G$6="Val-Boisé",'Val-Boisé'!G38,"Province ?")))))))))))</f>
        <v>60000</v>
      </c>
      <c r="Q33" s="193" t="s">
        <v>131</v>
      </c>
      <c r="R33" s="127" t="s">
        <v>227</v>
      </c>
    </row>
    <row r="34" spans="4:26" x14ac:dyDescent="0.25">
      <c r="I34" s="236" t="s">
        <v>143</v>
      </c>
      <c r="J34" s="266"/>
      <c r="K34" s="266"/>
      <c r="L34" s="266"/>
      <c r="M34" s="266"/>
      <c r="N34" s="266"/>
      <c r="O34" s="267"/>
      <c r="P34" s="138">
        <f>P26+P27+P28+P29-P30-P31-P32-P33</f>
        <v>48750</v>
      </c>
      <c r="Q34" s="153" t="s">
        <v>131</v>
      </c>
      <c r="R34" s="141" t="str">
        <f>IF(P34&lt;0,"Problème de trésorerie ? Valeur négative impossible !","")</f>
        <v/>
      </c>
      <c r="S34" s="84"/>
      <c r="T34" s="84"/>
      <c r="U34" s="84"/>
      <c r="V34" s="84"/>
      <c r="W34" s="84"/>
    </row>
    <row r="35" spans="4:26" x14ac:dyDescent="0.25">
      <c r="I35" s="220" t="s">
        <v>130</v>
      </c>
      <c r="J35" s="225"/>
      <c r="K35" s="225"/>
      <c r="L35" s="225"/>
      <c r="M35" s="225"/>
      <c r="N35" s="225"/>
      <c r="O35" s="226"/>
      <c r="P35" s="132">
        <f>AB161</f>
        <v>87500</v>
      </c>
      <c r="Q35" s="151" t="s">
        <v>131</v>
      </c>
    </row>
    <row r="36" spans="4:26" x14ac:dyDescent="0.25">
      <c r="I36" s="220" t="s">
        <v>236</v>
      </c>
      <c r="J36" s="225"/>
      <c r="K36" s="225"/>
      <c r="L36" s="225"/>
      <c r="M36" s="225"/>
      <c r="N36" s="225"/>
      <c r="O36" s="226"/>
      <c r="P36" s="132">
        <f>IF($G$6="Archipel de l'Automne",Alinor!G41,IF($G$6="Bordeciel",Bordeciel!G41,IF($G$6="Cyrodiil",Cyrodiil!G41,IF($G$6="Elsweyr",Elsweyr!G41,IF($G$6="Hauteroche",Hauteroche!G41,IF($G$6="Lenclume",Lenclume!G41,IF($G$6="Marais Noir",Argonie!G41,IF($G$6="Morrowind",Morrowind!G41,IF($G$6="Orsinium",Orsinium!G41,IF($G$6="Solstheim",Solstheim!G41,IF($G$6="Val-Boisé",'Val-Boisé'!G41,"Province ?")))))))))))</f>
        <v>0</v>
      </c>
      <c r="Q36" s="151" t="s">
        <v>131</v>
      </c>
    </row>
    <row r="37" spans="4:26" x14ac:dyDescent="0.25">
      <c r="I37" s="220" t="s">
        <v>179</v>
      </c>
      <c r="J37" s="225"/>
      <c r="K37" s="225"/>
      <c r="L37" s="225"/>
      <c r="M37" s="225"/>
      <c r="N37" s="225"/>
      <c r="O37" s="226"/>
      <c r="P37" s="195">
        <f>IF($G$6="Archipel de l'Automne",Alinor!G42,IF($G$6="Bordeciel",Bordeciel!G42,IF($G$6="Cyrodiil",Cyrodiil!G42,IF($G$6="Elsweyr",Elsweyr!G42,IF($G$6="Hauteroche",Hauteroche!G42,IF($G$6="Lenclume",Lenclume!G42,IF($G$6="Marais Noir",Argonie!G42,IF($G$6="Morrowind",Morrowind!G42,IF($G$6="Orsinium",Orsinium!G42,IF($G$6="Solstheim",Solstheim!G42,IF($G$6="Val-Boisé",'Val-Boisé'!G42,"Province ?")))))))))))</f>
        <v>300</v>
      </c>
      <c r="Q37" s="193" t="s">
        <v>191</v>
      </c>
      <c r="R37" s="133" t="s">
        <v>222</v>
      </c>
    </row>
    <row r="38" spans="4:26" x14ac:dyDescent="0.25">
      <c r="I38" s="220" t="s">
        <v>132</v>
      </c>
      <c r="J38" s="225"/>
      <c r="K38" s="225"/>
      <c r="L38" s="225"/>
      <c r="M38" s="225"/>
      <c r="N38" s="225"/>
      <c r="O38" s="226"/>
      <c r="P38" s="155">
        <f>P37*200</f>
        <v>60000</v>
      </c>
      <c r="Q38" s="151" t="s">
        <v>131</v>
      </c>
      <c r="R38" s="134"/>
    </row>
    <row r="39" spans="4:26" x14ac:dyDescent="0.25">
      <c r="I39" s="220" t="s">
        <v>192</v>
      </c>
      <c r="J39" s="225"/>
      <c r="K39" s="225"/>
      <c r="L39" s="225"/>
      <c r="M39" s="225"/>
      <c r="N39" s="225"/>
      <c r="O39" s="226"/>
      <c r="P39" s="132">
        <f>LARGE(N166:N168, 1)</f>
        <v>60000</v>
      </c>
      <c r="Q39" s="151" t="s">
        <v>131</v>
      </c>
    </row>
    <row r="40" spans="4:26" x14ac:dyDescent="0.25">
      <c r="I40" s="220" t="s">
        <v>133</v>
      </c>
      <c r="J40" s="225"/>
      <c r="K40" s="225"/>
      <c r="L40" s="225"/>
      <c r="M40" s="225"/>
      <c r="N40" s="225"/>
      <c r="O40" s="226"/>
      <c r="P40" s="156">
        <f>P38-P39</f>
        <v>0</v>
      </c>
      <c r="Q40" s="151" t="s">
        <v>131</v>
      </c>
    </row>
    <row r="41" spans="4:26" x14ac:dyDescent="0.25">
      <c r="I41" s="220" t="s">
        <v>134</v>
      </c>
      <c r="J41" s="225"/>
      <c r="K41" s="225"/>
      <c r="L41" s="225"/>
      <c r="M41" s="225"/>
      <c r="N41" s="225"/>
      <c r="O41" s="226"/>
      <c r="P41" s="156">
        <f>IF(P35+P36&lt;P40,0,P35+P36-P40)</f>
        <v>87500</v>
      </c>
      <c r="Q41" s="152" t="s">
        <v>131</v>
      </c>
      <c r="R41" s="127" t="s">
        <v>231</v>
      </c>
    </row>
    <row r="42" spans="4:26" x14ac:dyDescent="0.25">
      <c r="I42" s="236" t="s">
        <v>144</v>
      </c>
      <c r="J42" s="266"/>
      <c r="K42" s="266"/>
      <c r="L42" s="266"/>
      <c r="M42" s="266"/>
      <c r="N42" s="266"/>
      <c r="O42" s="267"/>
      <c r="P42" s="138">
        <f>P34+P41</f>
        <v>136250</v>
      </c>
      <c r="Q42" s="153" t="s">
        <v>131</v>
      </c>
      <c r="Z42" s="14"/>
    </row>
    <row r="43" spans="4:26" x14ac:dyDescent="0.25">
      <c r="I43" s="139"/>
      <c r="J43" s="139"/>
      <c r="K43" s="139"/>
      <c r="L43" s="139"/>
      <c r="M43" s="139"/>
      <c r="N43" s="139"/>
      <c r="O43" s="139"/>
      <c r="Z43" s="14"/>
    </row>
    <row r="44" spans="4:26" ht="15.75" x14ac:dyDescent="0.25">
      <c r="D44" s="84"/>
      <c r="E44" s="84"/>
      <c r="F44" s="84"/>
      <c r="G44" s="84"/>
      <c r="H44" s="84"/>
      <c r="I44" s="146" t="str">
        <f>CONCATENATE("Historique des finances de l'année ",G7," :")</f>
        <v>Historique des finances de l'année 4E 217 :</v>
      </c>
      <c r="S44" s="176" t="s">
        <v>263</v>
      </c>
      <c r="Z44" s="14"/>
    </row>
    <row r="45" spans="4:26" x14ac:dyDescent="0.25">
      <c r="I45" s="236" t="s">
        <v>143</v>
      </c>
      <c r="J45" s="266"/>
      <c r="K45" s="266"/>
      <c r="L45" s="266"/>
      <c r="M45" s="266"/>
      <c r="N45" s="266"/>
      <c r="O45" s="267"/>
      <c r="P45" s="190">
        <f>IF($G$6="Archipel de l'Automne",Alinor!G50,IF($G$6="Bordeciel",Bordeciel!G50,IF($G$6="Cyrodiil",Cyrodiil!G50,IF($G$6="Elsweyr",Elsweyr!G50,IF($G$6="Hauteroche",Hauteroche!G50,IF($G$6="Lenclume",Lenclume!G50,IF($G$6="Marais Noir",Argonie!G50,IF($G$6="Morrowind",Morrowind!G50,IF($G$6="Orsinium",Orsinium!G50,IF($G$6="Solstheim",Solstheim!G50,IF($G$6="Val-Boisé",'Val-Boisé'!G50,"Province ?")))))))))))</f>
        <v>37900</v>
      </c>
      <c r="Q45" s="191" t="s">
        <v>131</v>
      </c>
      <c r="Z45" s="14"/>
    </row>
    <row r="46" spans="4:26" x14ac:dyDescent="0.25">
      <c r="I46" s="220" t="s">
        <v>130</v>
      </c>
      <c r="J46" s="225"/>
      <c r="K46" s="225"/>
      <c r="L46" s="225"/>
      <c r="M46" s="225"/>
      <c r="N46" s="225"/>
      <c r="O46" s="226"/>
      <c r="P46" s="132">
        <f>AB161</f>
        <v>87500</v>
      </c>
      <c r="Q46" s="151" t="s">
        <v>131</v>
      </c>
      <c r="Z46" s="14"/>
    </row>
    <row r="47" spans="4:26" x14ac:dyDescent="0.25">
      <c r="I47" s="220" t="s">
        <v>236</v>
      </c>
      <c r="J47" s="225"/>
      <c r="K47" s="225"/>
      <c r="L47" s="225"/>
      <c r="M47" s="225"/>
      <c r="N47" s="225"/>
      <c r="O47" s="226"/>
      <c r="P47" s="132">
        <f>IF($G$6="Archipel de l'Automne",Alinor!G52,IF($G$6="Bordeciel",Bordeciel!G52,IF($G$6="Cyrodiil",Cyrodiil!G52,IF($G$6="Elsweyr",Elsweyr!G52,IF($G$6="Hauteroche",Hauteroche!G52,IF($G$6="Lenclume",Lenclume!G52,IF($G$6="Marais Noir",Argonie!G52,IF($G$6="Morrowind",Morrowind!G52,IF($G$6="Orsinium",Orsinium!G52,IF($G$6="Solstheim",Solstheim!G52,IF($G$6="Val-Boisé",'Val-Boisé'!G52,"Province ?")))))))))))</f>
        <v>0</v>
      </c>
      <c r="Q47" s="151" t="s">
        <v>131</v>
      </c>
      <c r="Z47" s="14"/>
    </row>
    <row r="48" spans="4:26" x14ac:dyDescent="0.25">
      <c r="I48" s="220" t="s">
        <v>179</v>
      </c>
      <c r="J48" s="225"/>
      <c r="K48" s="225"/>
      <c r="L48" s="225"/>
      <c r="M48" s="225"/>
      <c r="N48" s="225"/>
      <c r="O48" s="226"/>
      <c r="P48" s="195">
        <f>IF($G$6="Archipel de l'Automne",Alinor!G53,IF($G$6="Bordeciel",Bordeciel!G53,IF($G$6="Cyrodiil",Cyrodiil!G53,IF($G$6="Elsweyr",Elsweyr!G53,IF($G$6="Hauteroche",Hauteroche!G53,IF($G$6="Lenclume",Lenclume!G53,IF($G$6="Marais Noir",Argonie!G53,IF($G$6="Morrowind",Morrowind!G53,IF($G$6="Orsinium",Orsinium!G53,IF($G$6="Solstheim",Solstheim!G53,IF($G$6="Val-Boisé",'Val-Boisé'!G53,"Province ?")))))))))))</f>
        <v>55</v>
      </c>
      <c r="Q48" s="193" t="s">
        <v>191</v>
      </c>
      <c r="Z48" s="14"/>
    </row>
    <row r="49" spans="9:26" x14ac:dyDescent="0.25">
      <c r="I49" s="220" t="s">
        <v>132</v>
      </c>
      <c r="J49" s="225"/>
      <c r="K49" s="225"/>
      <c r="L49" s="225"/>
      <c r="M49" s="225"/>
      <c r="N49" s="225"/>
      <c r="O49" s="226"/>
      <c r="P49" s="155">
        <f>P37*200</f>
        <v>60000</v>
      </c>
      <c r="Q49" s="151" t="s">
        <v>131</v>
      </c>
      <c r="Z49" s="14"/>
    </row>
    <row r="50" spans="9:26" x14ac:dyDescent="0.25">
      <c r="I50" s="220" t="s">
        <v>192</v>
      </c>
      <c r="J50" s="225"/>
      <c r="K50" s="225"/>
      <c r="L50" s="225"/>
      <c r="M50" s="225"/>
      <c r="N50" s="225"/>
      <c r="O50" s="226"/>
      <c r="P50" s="132">
        <f>LARGE(N166:N168, 1)</f>
        <v>60000</v>
      </c>
      <c r="Q50" s="151" t="s">
        <v>131</v>
      </c>
      <c r="Z50" s="14"/>
    </row>
    <row r="51" spans="9:26" x14ac:dyDescent="0.25">
      <c r="I51" s="220" t="s">
        <v>133</v>
      </c>
      <c r="J51" s="225"/>
      <c r="K51" s="225"/>
      <c r="L51" s="225"/>
      <c r="M51" s="225"/>
      <c r="N51" s="225"/>
      <c r="O51" s="226"/>
      <c r="P51" s="156">
        <f>P38-P39</f>
        <v>0</v>
      </c>
      <c r="Q51" s="151" t="s">
        <v>131</v>
      </c>
      <c r="Z51" s="14"/>
    </row>
    <row r="52" spans="9:26" x14ac:dyDescent="0.25">
      <c r="I52" s="220" t="s">
        <v>134</v>
      </c>
      <c r="J52" s="225"/>
      <c r="K52" s="225"/>
      <c r="L52" s="225"/>
      <c r="M52" s="225"/>
      <c r="N52" s="225"/>
      <c r="O52" s="226"/>
      <c r="P52" s="156">
        <f>IF(P35+P36&lt;P40,0,P35+P36-P40)</f>
        <v>87500</v>
      </c>
      <c r="Q52" s="152" t="s">
        <v>131</v>
      </c>
      <c r="Z52" s="14"/>
    </row>
    <row r="53" spans="9:26" x14ac:dyDescent="0.25">
      <c r="I53" s="236" t="s">
        <v>144</v>
      </c>
      <c r="J53" s="266"/>
      <c r="K53" s="266"/>
      <c r="L53" s="266"/>
      <c r="M53" s="266"/>
      <c r="N53" s="266"/>
      <c r="O53" s="267"/>
      <c r="P53" s="138">
        <f>P45+P52</f>
        <v>125400</v>
      </c>
      <c r="Q53" s="153" t="s">
        <v>131</v>
      </c>
      <c r="Z53" s="14"/>
    </row>
    <row r="54" spans="9:26" x14ac:dyDescent="0.25">
      <c r="I54" s="220" t="s">
        <v>241</v>
      </c>
      <c r="J54" s="225"/>
      <c r="K54" s="225"/>
      <c r="L54" s="225"/>
      <c r="M54" s="225"/>
      <c r="N54" s="225"/>
      <c r="O54" s="226"/>
      <c r="P54" s="192">
        <f>IF($G$6="Archipel de l'Automne",Alinor!G59,IF($G$6="Bordeciel",Bordeciel!G59,IF($G$6="Cyrodiil",Cyrodiil!G59,IF($G$6="Elsweyr",Elsweyr!G59,IF($G$6="Hauteroche",Hauteroche!G59,IF($G$6="Lenclume",Lenclume!G59,IF($G$6="Marais Noir",Argonie!G59,IF($G$6="Morrowind",Morrowind!G59,IF($G$6="Orsinium",Orsinium!G59,IF($G$6="Solstheim",Solstheim!G59,IF($G$6="Val-Boisé",'Val-Boisé'!G59,"Province ?")))))))))))</f>
        <v>0</v>
      </c>
      <c r="Q54" s="193" t="s">
        <v>131</v>
      </c>
      <c r="Z54" s="14"/>
    </row>
    <row r="55" spans="9:26" x14ac:dyDescent="0.25">
      <c r="I55" s="220" t="s">
        <v>240</v>
      </c>
      <c r="J55" s="225"/>
      <c r="K55" s="225"/>
      <c r="L55" s="225"/>
      <c r="M55" s="225"/>
      <c r="N55" s="225"/>
      <c r="O55" s="226"/>
      <c r="P55" s="192">
        <f>IF($G$6="Archipel de l'Automne",Alinor!G60,IF($G$6="Bordeciel",Bordeciel!G60,IF($G$6="Cyrodiil",Cyrodiil!G60,IF($G$6="Elsweyr",Elsweyr!G60,IF($G$6="Hauteroche",Hauteroche!G60,IF($G$6="Lenclume",Lenclume!G60,IF($G$6="Marais Noir",Argonie!G60,IF($G$6="Morrowind",Morrowind!G60,IF($G$6="Orsinium",Orsinium!G60,IF($G$6="Solstheim",Solstheim!G60,IF($G$6="Val-Boisé",'Val-Boisé'!G60,"Province ?")))))))))))</f>
        <v>0</v>
      </c>
      <c r="Q55" s="193" t="s">
        <v>131</v>
      </c>
      <c r="Z55" s="14"/>
    </row>
    <row r="56" spans="9:26" x14ac:dyDescent="0.25">
      <c r="I56" s="220" t="s">
        <v>239</v>
      </c>
      <c r="J56" s="225"/>
      <c r="K56" s="225"/>
      <c r="L56" s="225"/>
      <c r="M56" s="225"/>
      <c r="N56" s="225"/>
      <c r="O56" s="226"/>
      <c r="P56" s="192">
        <f>IF($G$6="Archipel de l'Automne",Alinor!G61,IF($G$6="Bordeciel",Bordeciel!G61,IF($G$6="Cyrodiil",Cyrodiil!G61,IF($G$6="Elsweyr",Elsweyr!G61,IF($G$6="Hauteroche",Hauteroche!G61,IF($G$6="Lenclume",Lenclume!G61,IF($G$6="Marais Noir",Argonie!G61,IF($G$6="Morrowind",Morrowind!G61,IF($G$6="Orsinium",Orsinium!G61,IF($G$6="Solstheim",Solstheim!G61,IF($G$6="Val-Boisé",'Val-Boisé'!G61,"Province ?")))))))))))</f>
        <v>0</v>
      </c>
      <c r="Q56" s="193" t="s">
        <v>131</v>
      </c>
      <c r="Z56" s="14"/>
    </row>
    <row r="57" spans="9:26" x14ac:dyDescent="0.25">
      <c r="I57" s="220" t="s">
        <v>238</v>
      </c>
      <c r="J57" s="225"/>
      <c r="K57" s="225"/>
      <c r="L57" s="225"/>
      <c r="M57" s="225"/>
      <c r="N57" s="225"/>
      <c r="O57" s="226"/>
      <c r="P57" s="194">
        <f>IF($G$6="Archipel de l'Automne",Alinor!G62,IF($G$6="Bordeciel",Bordeciel!G62,IF($G$6="Cyrodiil",Cyrodiil!G62,IF($G$6="Elsweyr",Elsweyr!G62,IF($G$6="Hauteroche",Hauteroche!G62,IF($G$6="Lenclume",Lenclume!G62,IF($G$6="Marais Noir",Argonie!G62,IF($G$6="Morrowind",Morrowind!G62,IF($G$6="Orsinium",Orsinium!G62,IF($G$6="Solstheim",Solstheim!G62,IF($G$6="Val-Boisé",'Val-Boisé'!G62,"Province ?")))))))))))</f>
        <v>0</v>
      </c>
      <c r="Q57" s="193" t="s">
        <v>131</v>
      </c>
      <c r="Z57" s="14"/>
    </row>
    <row r="58" spans="9:26" x14ac:dyDescent="0.25">
      <c r="I58" s="220" t="s">
        <v>229</v>
      </c>
      <c r="J58" s="225"/>
      <c r="K58" s="225"/>
      <c r="L58" s="225"/>
      <c r="M58" s="225"/>
      <c r="N58" s="225"/>
      <c r="O58" s="226"/>
      <c r="P58" s="194">
        <f>IF($G$6="Archipel de l'Automne",Alinor!G63,IF($G$6="Bordeciel",Bordeciel!G63,IF($G$6="Cyrodiil",Cyrodiil!G63,IF($G$6="Elsweyr",Elsweyr!G63,IF($G$6="Hauteroche",Hauteroche!G63,IF($G$6="Lenclume",Lenclume!G63,IF($G$6="Marais Noir",Argonie!G63,IF($G$6="Morrowind",Morrowind!G63,IF($G$6="Orsinium",Orsinium!G63,IF($G$6="Solstheim",Solstheim!G63,IF($G$6="Val-Boisé",'Val-Boisé'!G63,"Province ?")))))))))))</f>
        <v>0</v>
      </c>
      <c r="Q58" s="193" t="s">
        <v>131</v>
      </c>
      <c r="Z58" s="14"/>
    </row>
    <row r="59" spans="9:26" x14ac:dyDescent="0.25">
      <c r="I59" s="220" t="s">
        <v>219</v>
      </c>
      <c r="J59" s="225"/>
      <c r="K59" s="225"/>
      <c r="L59" s="225"/>
      <c r="M59" s="225"/>
      <c r="N59" s="225"/>
      <c r="O59" s="226"/>
      <c r="P59" s="194">
        <f>IF($G$6="Archipel de l'Automne",Alinor!G64,IF($G$6="Bordeciel",Bordeciel!G64,IF($G$6="Cyrodiil",Cyrodiil!G64,IF($G$6="Elsweyr",Elsweyr!G64,IF($G$6="Hauteroche",Hauteroche!G64,IF($G$6="Lenclume",Lenclume!G64,IF($G$6="Marais Noir",Argonie!G64,IF($G$6="Morrowind",Morrowind!G64,IF($G$6="Orsinium",Orsinium!G64,IF($G$6="Solstheim",Solstheim!G64,IF($G$6="Val-Boisé",'Val-Boisé'!G64,"Province ?")))))))))))</f>
        <v>87000</v>
      </c>
      <c r="Q59" s="193" t="s">
        <v>131</v>
      </c>
      <c r="Z59" s="14"/>
    </row>
    <row r="60" spans="9:26" x14ac:dyDescent="0.25">
      <c r="I60" s="220" t="s">
        <v>220</v>
      </c>
      <c r="J60" s="225"/>
      <c r="K60" s="225"/>
      <c r="L60" s="225"/>
      <c r="M60" s="225"/>
      <c r="N60" s="225"/>
      <c r="O60" s="226"/>
      <c r="P60" s="194">
        <f>IF($G$6="Archipel de l'Automne",Alinor!G65,IF($G$6="Bordeciel",Bordeciel!G65,IF($G$6="Cyrodiil",Cyrodiil!G65,IF($G$6="Elsweyr",Elsweyr!G65,IF($G$6="Hauteroche",Hauteroche!G65,IF($G$6="Lenclume",Lenclume!G65,IF($G$6="Marais Noir",Argonie!G65,IF($G$6="Morrowind",Morrowind!G65,IF($G$6="Orsinium",Orsinium!G65,IF($G$6="Solstheim",Solstheim!G65,IF($G$6="Val-Boisé",'Val-Boisé'!G65,"Province ?")))))))))))</f>
        <v>0</v>
      </c>
      <c r="Q60" s="193" t="s">
        <v>131</v>
      </c>
      <c r="Z60" s="14"/>
    </row>
    <row r="61" spans="9:26" x14ac:dyDescent="0.25">
      <c r="I61" s="236" t="s">
        <v>264</v>
      </c>
      <c r="J61" s="266"/>
      <c r="K61" s="266"/>
      <c r="L61" s="266"/>
      <c r="M61" s="266"/>
      <c r="N61" s="266"/>
      <c r="O61" s="267"/>
      <c r="P61" s="138">
        <f>P53+P54+P55+P56-P57-P58-P59-P60</f>
        <v>38400</v>
      </c>
      <c r="Q61" s="153" t="s">
        <v>131</v>
      </c>
      <c r="Z61" s="14"/>
    </row>
    <row r="62" spans="9:26" x14ac:dyDescent="0.25">
      <c r="I62" s="139"/>
      <c r="J62" s="139"/>
      <c r="K62" s="139"/>
      <c r="L62" s="139"/>
      <c r="M62" s="139"/>
      <c r="N62" s="139"/>
      <c r="O62" s="139"/>
      <c r="Z62" s="14"/>
    </row>
    <row r="63" spans="9:26" x14ac:dyDescent="0.25">
      <c r="I63" s="139"/>
      <c r="J63" s="139"/>
      <c r="K63" s="139"/>
      <c r="L63" s="139"/>
      <c r="M63" s="139"/>
      <c r="N63" s="139"/>
      <c r="O63" s="139"/>
      <c r="Z63" s="14"/>
    </row>
    <row r="64" spans="9:26" x14ac:dyDescent="0.25">
      <c r="I64" s="139"/>
      <c r="J64" s="139"/>
      <c r="K64" s="139"/>
      <c r="L64" s="139"/>
      <c r="M64" s="139"/>
      <c r="N64" s="139"/>
      <c r="O64" s="139"/>
      <c r="T64" s="143" t="s">
        <v>251</v>
      </c>
      <c r="U64" s="143" t="s">
        <v>252</v>
      </c>
      <c r="V64" s="144" t="s">
        <v>253</v>
      </c>
      <c r="Y64" s="14" t="s">
        <v>327</v>
      </c>
      <c r="Z64" s="14"/>
    </row>
    <row r="65" spans="1:29" ht="15" customHeight="1" thickBot="1" x14ac:dyDescent="0.3">
      <c r="B65" s="125" t="s">
        <v>254</v>
      </c>
      <c r="S65" s="145" t="s">
        <v>250</v>
      </c>
      <c r="T65" s="143" t="s">
        <v>249</v>
      </c>
      <c r="U65" s="143" t="s">
        <v>248</v>
      </c>
      <c r="V65" s="143" t="s">
        <v>247</v>
      </c>
      <c r="Y65" s="95" t="s">
        <v>183</v>
      </c>
      <c r="Z65" s="95"/>
    </row>
    <row r="66" spans="1:29" ht="15.75" thickBot="1" x14ac:dyDescent="0.3">
      <c r="A66" s="33" t="s">
        <v>119</v>
      </c>
      <c r="B66" s="252" t="s">
        <v>188</v>
      </c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M66" s="254"/>
      <c r="N66" s="263" t="s">
        <v>120</v>
      </c>
      <c r="O66" s="264"/>
      <c r="P66" s="264"/>
      <c r="Q66" s="264"/>
      <c r="R66" s="264"/>
      <c r="S66" s="264"/>
      <c r="T66" s="264"/>
      <c r="U66" s="264"/>
      <c r="V66" s="264"/>
      <c r="W66" s="265"/>
      <c r="X66" s="123" t="s">
        <v>117</v>
      </c>
      <c r="Y66" s="260" t="s">
        <v>118</v>
      </c>
      <c r="Z66" s="260"/>
      <c r="AA66" s="260"/>
      <c r="AB66" s="260" t="s">
        <v>117</v>
      </c>
      <c r="AC66" s="260"/>
    </row>
    <row r="67" spans="1:29" ht="15.75" customHeight="1" thickBot="1" x14ac:dyDescent="0.3">
      <c r="A67" s="16" t="s">
        <v>94</v>
      </c>
      <c r="B67" s="255" t="s">
        <v>111</v>
      </c>
      <c r="C67" s="256"/>
      <c r="D67" s="256"/>
      <c r="E67" s="256"/>
      <c r="F67" s="256"/>
      <c r="G67" s="256"/>
      <c r="H67" s="256"/>
      <c r="I67" s="256"/>
      <c r="J67" s="256"/>
      <c r="K67" s="256"/>
      <c r="L67" s="256"/>
      <c r="M67" s="248"/>
      <c r="N67" s="255" t="s">
        <v>125</v>
      </c>
      <c r="O67" s="256"/>
      <c r="P67" s="256"/>
      <c r="Q67" s="256"/>
      <c r="R67" s="256"/>
      <c r="S67" s="257"/>
      <c r="T67" s="248" t="s">
        <v>126</v>
      </c>
      <c r="U67" s="249"/>
      <c r="V67" s="249"/>
      <c r="W67" s="249"/>
      <c r="X67" s="261" t="s">
        <v>115</v>
      </c>
      <c r="Y67" s="22" t="s">
        <v>258</v>
      </c>
      <c r="Z67" s="22" t="s">
        <v>204</v>
      </c>
      <c r="AA67" s="15" t="s">
        <v>95</v>
      </c>
      <c r="AB67" s="15" t="s">
        <v>102</v>
      </c>
      <c r="AC67" s="258" t="s">
        <v>101</v>
      </c>
    </row>
    <row r="68" spans="1:29" ht="15.75" thickBot="1" x14ac:dyDescent="0.3">
      <c r="A68" s="30" t="s">
        <v>18</v>
      </c>
      <c r="B68" s="250" t="s">
        <v>7</v>
      </c>
      <c r="C68" s="251"/>
      <c r="D68" s="217" t="s">
        <v>8</v>
      </c>
      <c r="E68" s="218"/>
      <c r="F68" s="217" t="s">
        <v>9</v>
      </c>
      <c r="G68" s="218"/>
      <c r="H68" s="217" t="s">
        <v>169</v>
      </c>
      <c r="I68" s="218"/>
      <c r="J68" s="217" t="s">
        <v>170</v>
      </c>
      <c r="K68" s="218"/>
      <c r="L68" s="217" t="s">
        <v>84</v>
      </c>
      <c r="M68" s="223"/>
      <c r="N68" s="28" t="s">
        <v>108</v>
      </c>
      <c r="O68" s="28" t="s">
        <v>109</v>
      </c>
      <c r="P68" s="28" t="s">
        <v>110</v>
      </c>
      <c r="Q68" s="28" t="s">
        <v>171</v>
      </c>
      <c r="R68" s="28" t="s">
        <v>172</v>
      </c>
      <c r="S68" s="101" t="s">
        <v>116</v>
      </c>
      <c r="T68" s="28" t="s">
        <v>112</v>
      </c>
      <c r="U68" s="28" t="s">
        <v>113</v>
      </c>
      <c r="V68" s="6" t="s">
        <v>114</v>
      </c>
      <c r="W68" s="7" t="s">
        <v>124</v>
      </c>
      <c r="X68" s="262"/>
      <c r="Y68" s="23" t="s">
        <v>259</v>
      </c>
      <c r="Z68" s="23" t="s">
        <v>205</v>
      </c>
      <c r="AA68" s="17" t="s">
        <v>96</v>
      </c>
      <c r="AB68" s="17" t="s">
        <v>103</v>
      </c>
      <c r="AC68" s="259"/>
    </row>
    <row r="69" spans="1:29" x14ac:dyDescent="0.25">
      <c r="A69" s="4" t="s">
        <v>0</v>
      </c>
      <c r="B69" s="57">
        <f>TRUNC(C69*AC69*(1-AA69)*IF(N69="Oui",1,0))</f>
        <v>0</v>
      </c>
      <c r="C69" s="69">
        <v>4</v>
      </c>
      <c r="D69" s="68">
        <f t="shared" ref="D69:D76" si="1">TRUNC(E69*AC69*(1-AA69)*IF(O69="Oui",1,0))</f>
        <v>0</v>
      </c>
      <c r="E69" s="69">
        <v>8</v>
      </c>
      <c r="F69" s="70" t="s">
        <v>123</v>
      </c>
      <c r="G69" s="63" t="s">
        <v>123</v>
      </c>
      <c r="H69" s="70" t="s">
        <v>123</v>
      </c>
      <c r="I69" s="64" t="s">
        <v>123</v>
      </c>
      <c r="J69" s="70">
        <f>TRUNC(K69*AC69*(1-AA69)*IF(R69="Oui",1,0))</f>
        <v>0</v>
      </c>
      <c r="K69" s="69">
        <v>12</v>
      </c>
      <c r="L69" s="70">
        <f t="shared" ref="L69:L76" si="2">TRUNC(M69*AC69*(1-AA69)*IF(S69="Oui",1,0))</f>
        <v>0</v>
      </c>
      <c r="M69" s="56">
        <v>16</v>
      </c>
      <c r="N69" s="41" t="s">
        <v>127</v>
      </c>
      <c r="O69" s="40" t="s">
        <v>127</v>
      </c>
      <c r="P69" s="39" t="s">
        <v>123</v>
      </c>
      <c r="Q69" s="39" t="s">
        <v>123</v>
      </c>
      <c r="R69" s="40" t="s">
        <v>246</v>
      </c>
      <c r="S69" s="40" t="s">
        <v>246</v>
      </c>
      <c r="T69" s="48" t="s">
        <v>127</v>
      </c>
      <c r="U69" s="40" t="s">
        <v>127</v>
      </c>
      <c r="V69" s="40" t="s">
        <v>246</v>
      </c>
      <c r="W69" s="40" t="s">
        <v>184</v>
      </c>
      <c r="X69" s="35">
        <f>IF(W69="Oui",7,4)</f>
        <v>7</v>
      </c>
      <c r="Y69" s="157" t="s">
        <v>18</v>
      </c>
      <c r="Z69" s="158" t="s">
        <v>127</v>
      </c>
      <c r="AA69" s="159">
        <v>0</v>
      </c>
      <c r="AB69" s="160">
        <f>(IF(T69="Oui",2500,0)+IF(U69="Oui",5000,0)+IF(V69="Oui",10000,0)+IF(W69="Oui",25000,5000))*AC69*(1-AA69)*(I$9+1)</f>
        <v>0</v>
      </c>
      <c r="AC69" s="161">
        <f>IF((AND($G$6=Y69,Z69="Non")),1,IF((AND($G$6=Y69,Z69="Oui")),0.5,0))</f>
        <v>0</v>
      </c>
    </row>
    <row r="70" spans="1:29" x14ac:dyDescent="0.25">
      <c r="A70" s="4" t="s">
        <v>185</v>
      </c>
      <c r="B70" s="57" t="s">
        <v>123</v>
      </c>
      <c r="C70" s="71" t="s">
        <v>123</v>
      </c>
      <c r="D70" s="70">
        <f t="shared" si="1"/>
        <v>0</v>
      </c>
      <c r="E70" s="71">
        <v>12</v>
      </c>
      <c r="F70" s="70" t="s">
        <v>123</v>
      </c>
      <c r="G70" s="64" t="s">
        <v>123</v>
      </c>
      <c r="H70" s="70">
        <f>TRUNC(I70*AC70*(1-AA70)*IF(Q70="Oui",1,0))</f>
        <v>0</v>
      </c>
      <c r="I70" s="64">
        <v>8</v>
      </c>
      <c r="J70" s="70">
        <f>TRUNC(K70*AC70*(1-AA70)*IF(R70="Oui",1,0))</f>
        <v>0</v>
      </c>
      <c r="K70" s="71">
        <v>4</v>
      </c>
      <c r="L70" s="70">
        <f t="shared" si="2"/>
        <v>0</v>
      </c>
      <c r="M70" s="58">
        <v>16</v>
      </c>
      <c r="N70" s="97" t="s">
        <v>123</v>
      </c>
      <c r="O70" s="42" t="s">
        <v>246</v>
      </c>
      <c r="P70" s="39" t="s">
        <v>123</v>
      </c>
      <c r="Q70" s="42" t="s">
        <v>127</v>
      </c>
      <c r="R70" s="42" t="s">
        <v>127</v>
      </c>
      <c r="S70" s="42" t="s">
        <v>246</v>
      </c>
      <c r="T70" s="49" t="s">
        <v>127</v>
      </c>
      <c r="U70" s="42" t="s">
        <v>127</v>
      </c>
      <c r="V70" s="42" t="s">
        <v>246</v>
      </c>
      <c r="W70" s="42" t="s">
        <v>127</v>
      </c>
      <c r="X70" s="36">
        <f t="shared" ref="X70:X133" si="3">IF(W70="Oui",7,4)</f>
        <v>4</v>
      </c>
      <c r="Y70" s="162" t="s">
        <v>18</v>
      </c>
      <c r="Z70" s="163" t="s">
        <v>127</v>
      </c>
      <c r="AA70" s="164">
        <v>0</v>
      </c>
      <c r="AB70" s="165">
        <f t="shared" ref="AB70:AB133" si="4">(IF(T70="Oui",2500,0)+IF(U70="Oui",5000,0)+IF(V70="Oui",10000,0)+IF(W70="Oui",25000,5000))*AC70*(1-AA70)*(I$9+1)</f>
        <v>0</v>
      </c>
      <c r="AC70" s="166">
        <f t="shared" ref="AC70:AC133" si="5">IF((AND($G$6=Y70,Z70="Non")),1,IF((AND($G$6=Y70,Z70="Oui")),0.5,0))</f>
        <v>0</v>
      </c>
    </row>
    <row r="71" spans="1:29" x14ac:dyDescent="0.25">
      <c r="A71" s="4" t="s">
        <v>1</v>
      </c>
      <c r="B71" s="57">
        <f t="shared" ref="B71:B76" si="6">TRUNC(C71*AC71*(1-AA71)*IF(N71="Oui",1,0))</f>
        <v>0</v>
      </c>
      <c r="C71" s="71">
        <v>8</v>
      </c>
      <c r="D71" s="70">
        <f>TRUNC(E71*AC71*(1-AA71)*IF(O71="Oui",1,0))</f>
        <v>0</v>
      </c>
      <c r="E71" s="71">
        <v>16</v>
      </c>
      <c r="F71" s="70" t="s">
        <v>123</v>
      </c>
      <c r="G71" s="64" t="s">
        <v>123</v>
      </c>
      <c r="H71" s="70" t="s">
        <v>123</v>
      </c>
      <c r="I71" s="64" t="s">
        <v>123</v>
      </c>
      <c r="J71" s="70">
        <f>TRUNC(K71*AC71*(1-AA71)*IF(R71="Oui",1,0))</f>
        <v>0</v>
      </c>
      <c r="K71" s="71">
        <v>4</v>
      </c>
      <c r="L71" s="70">
        <f t="shared" si="2"/>
        <v>0</v>
      </c>
      <c r="M71" s="58">
        <v>12</v>
      </c>
      <c r="N71" s="41" t="s">
        <v>127</v>
      </c>
      <c r="O71" s="42" t="s">
        <v>246</v>
      </c>
      <c r="P71" s="39" t="s">
        <v>123</v>
      </c>
      <c r="Q71" s="39" t="s">
        <v>123</v>
      </c>
      <c r="R71" s="42" t="s">
        <v>127</v>
      </c>
      <c r="S71" s="42" t="s">
        <v>127</v>
      </c>
      <c r="T71" s="49" t="s">
        <v>127</v>
      </c>
      <c r="U71" s="42" t="s">
        <v>127</v>
      </c>
      <c r="V71" s="42" t="s">
        <v>127</v>
      </c>
      <c r="W71" s="42" t="s">
        <v>127</v>
      </c>
      <c r="X71" s="36">
        <f t="shared" si="3"/>
        <v>4</v>
      </c>
      <c r="Y71" s="162" t="s">
        <v>18</v>
      </c>
      <c r="Z71" s="163" t="s">
        <v>127</v>
      </c>
      <c r="AA71" s="164">
        <v>0</v>
      </c>
      <c r="AB71" s="165">
        <f t="shared" si="4"/>
        <v>0</v>
      </c>
      <c r="AC71" s="166">
        <f t="shared" si="5"/>
        <v>0</v>
      </c>
    </row>
    <row r="72" spans="1:29" x14ac:dyDescent="0.25">
      <c r="A72" s="4" t="s">
        <v>2</v>
      </c>
      <c r="B72" s="57">
        <f t="shared" si="6"/>
        <v>0</v>
      </c>
      <c r="C72" s="71">
        <v>12</v>
      </c>
      <c r="D72" s="70">
        <f t="shared" si="1"/>
        <v>0</v>
      </c>
      <c r="E72" s="71">
        <v>4</v>
      </c>
      <c r="F72" s="70" t="s">
        <v>123</v>
      </c>
      <c r="G72" s="64" t="s">
        <v>123</v>
      </c>
      <c r="H72" s="70">
        <f>TRUNC(I72*AC72*(1-AA72)*IF(Q72="Oui",1,0))</f>
        <v>0</v>
      </c>
      <c r="I72" s="64">
        <v>16</v>
      </c>
      <c r="J72" s="70" t="s">
        <v>123</v>
      </c>
      <c r="K72" s="64" t="s">
        <v>123</v>
      </c>
      <c r="L72" s="70">
        <f t="shared" si="2"/>
        <v>0</v>
      </c>
      <c r="M72" s="58">
        <v>8</v>
      </c>
      <c r="N72" s="41" t="s">
        <v>246</v>
      </c>
      <c r="O72" s="42" t="s">
        <v>127</v>
      </c>
      <c r="P72" s="39" t="s">
        <v>123</v>
      </c>
      <c r="Q72" s="42" t="s">
        <v>127</v>
      </c>
      <c r="R72" s="39" t="s">
        <v>123</v>
      </c>
      <c r="S72" s="42" t="s">
        <v>127</v>
      </c>
      <c r="T72" s="49" t="s">
        <v>127</v>
      </c>
      <c r="U72" s="42" t="s">
        <v>127</v>
      </c>
      <c r="V72" s="42" t="s">
        <v>127</v>
      </c>
      <c r="W72" s="42" t="s">
        <v>127</v>
      </c>
      <c r="X72" s="36">
        <f t="shared" si="3"/>
        <v>4</v>
      </c>
      <c r="Y72" s="162" t="s">
        <v>18</v>
      </c>
      <c r="Z72" s="163" t="s">
        <v>127</v>
      </c>
      <c r="AA72" s="164">
        <v>0</v>
      </c>
      <c r="AB72" s="165">
        <f t="shared" si="4"/>
        <v>0</v>
      </c>
      <c r="AC72" s="166">
        <f t="shared" si="5"/>
        <v>0</v>
      </c>
    </row>
    <row r="73" spans="1:29" x14ac:dyDescent="0.25">
      <c r="A73" s="4" t="s">
        <v>3</v>
      </c>
      <c r="B73" s="57">
        <f t="shared" si="6"/>
        <v>0</v>
      </c>
      <c r="C73" s="71">
        <v>12</v>
      </c>
      <c r="D73" s="70">
        <f t="shared" si="1"/>
        <v>0</v>
      </c>
      <c r="E73" s="71">
        <v>8</v>
      </c>
      <c r="F73" s="70" t="s">
        <v>123</v>
      </c>
      <c r="G73" s="64" t="s">
        <v>123</v>
      </c>
      <c r="H73" s="70">
        <f>TRUNC(I73*AC73*(1-AA73)*IF(Q73="Oui",1,0))</f>
        <v>0</v>
      </c>
      <c r="I73" s="64">
        <v>4</v>
      </c>
      <c r="J73" s="70" t="s">
        <v>123</v>
      </c>
      <c r="K73" s="64" t="s">
        <v>123</v>
      </c>
      <c r="L73" s="70">
        <f t="shared" si="2"/>
        <v>0</v>
      </c>
      <c r="M73" s="58">
        <v>16</v>
      </c>
      <c r="N73" s="41" t="s">
        <v>246</v>
      </c>
      <c r="O73" s="42" t="s">
        <v>127</v>
      </c>
      <c r="P73" s="39" t="s">
        <v>123</v>
      </c>
      <c r="Q73" s="42" t="s">
        <v>127</v>
      </c>
      <c r="R73" s="39" t="s">
        <v>123</v>
      </c>
      <c r="S73" s="42" t="s">
        <v>127</v>
      </c>
      <c r="T73" s="49" t="s">
        <v>127</v>
      </c>
      <c r="U73" s="42" t="s">
        <v>127</v>
      </c>
      <c r="V73" s="42" t="s">
        <v>127</v>
      </c>
      <c r="W73" s="42" t="s">
        <v>127</v>
      </c>
      <c r="X73" s="36">
        <f t="shared" si="3"/>
        <v>4</v>
      </c>
      <c r="Y73" s="162" t="s">
        <v>18</v>
      </c>
      <c r="Z73" s="163" t="s">
        <v>127</v>
      </c>
      <c r="AA73" s="164">
        <v>0</v>
      </c>
      <c r="AB73" s="165">
        <f t="shared" si="4"/>
        <v>0</v>
      </c>
      <c r="AC73" s="166">
        <f t="shared" si="5"/>
        <v>0</v>
      </c>
    </row>
    <row r="74" spans="1:29" x14ac:dyDescent="0.25">
      <c r="A74" s="4" t="s">
        <v>4</v>
      </c>
      <c r="B74" s="57">
        <f t="shared" si="6"/>
        <v>0</v>
      </c>
      <c r="C74" s="71">
        <v>4</v>
      </c>
      <c r="D74" s="70">
        <f t="shared" si="1"/>
        <v>0</v>
      </c>
      <c r="E74" s="71">
        <v>12</v>
      </c>
      <c r="F74" s="70" t="s">
        <v>123</v>
      </c>
      <c r="G74" s="64" t="s">
        <v>123</v>
      </c>
      <c r="H74" s="70" t="s">
        <v>123</v>
      </c>
      <c r="I74" s="64" t="s">
        <v>123</v>
      </c>
      <c r="J74" s="70">
        <f>TRUNC(K74*AC74*(1-AA74)*IF(R74="Oui",1,0))</f>
        <v>0</v>
      </c>
      <c r="K74" s="71">
        <v>8</v>
      </c>
      <c r="L74" s="70">
        <f t="shared" si="2"/>
        <v>0</v>
      </c>
      <c r="M74" s="58">
        <v>16</v>
      </c>
      <c r="N74" s="41" t="s">
        <v>127</v>
      </c>
      <c r="O74" s="42" t="s">
        <v>127</v>
      </c>
      <c r="P74" s="39" t="s">
        <v>123</v>
      </c>
      <c r="Q74" s="39" t="s">
        <v>123</v>
      </c>
      <c r="R74" s="42" t="s">
        <v>127</v>
      </c>
      <c r="S74" s="42" t="s">
        <v>127</v>
      </c>
      <c r="T74" s="49" t="s">
        <v>127</v>
      </c>
      <c r="U74" s="42" t="s">
        <v>127</v>
      </c>
      <c r="V74" s="42" t="s">
        <v>127</v>
      </c>
      <c r="W74" s="42" t="s">
        <v>127</v>
      </c>
      <c r="X74" s="36">
        <f t="shared" si="3"/>
        <v>4</v>
      </c>
      <c r="Y74" s="162" t="s">
        <v>18</v>
      </c>
      <c r="Z74" s="163" t="s">
        <v>127</v>
      </c>
      <c r="AA74" s="164">
        <v>0</v>
      </c>
      <c r="AB74" s="165">
        <f t="shared" si="4"/>
        <v>0</v>
      </c>
      <c r="AC74" s="166">
        <f t="shared" si="5"/>
        <v>0</v>
      </c>
    </row>
    <row r="75" spans="1:29" x14ac:dyDescent="0.25">
      <c r="A75" s="4" t="s">
        <v>5</v>
      </c>
      <c r="B75" s="57">
        <f t="shared" si="6"/>
        <v>0</v>
      </c>
      <c r="C75" s="71">
        <v>12</v>
      </c>
      <c r="D75" s="70">
        <f t="shared" si="1"/>
        <v>0</v>
      </c>
      <c r="E75" s="71">
        <v>8</v>
      </c>
      <c r="F75" s="70">
        <f>TRUNC(G75*AC75*(1-AA75)*IF(P75="Oui",1,0))</f>
        <v>0</v>
      </c>
      <c r="G75" s="64">
        <v>4</v>
      </c>
      <c r="H75" s="70" t="s">
        <v>123</v>
      </c>
      <c r="I75" s="64" t="s">
        <v>123</v>
      </c>
      <c r="J75" s="70" t="s">
        <v>123</v>
      </c>
      <c r="K75" s="64" t="s">
        <v>123</v>
      </c>
      <c r="L75" s="70">
        <f t="shared" si="2"/>
        <v>0</v>
      </c>
      <c r="M75" s="58">
        <v>16</v>
      </c>
      <c r="N75" s="41" t="s">
        <v>127</v>
      </c>
      <c r="O75" s="42" t="s">
        <v>127</v>
      </c>
      <c r="P75" s="42" t="s">
        <v>127</v>
      </c>
      <c r="Q75" s="39" t="s">
        <v>123</v>
      </c>
      <c r="R75" s="39" t="s">
        <v>123</v>
      </c>
      <c r="S75" s="42" t="s">
        <v>127</v>
      </c>
      <c r="T75" s="49" t="s">
        <v>127</v>
      </c>
      <c r="U75" s="42" t="s">
        <v>127</v>
      </c>
      <c r="V75" s="42" t="s">
        <v>127</v>
      </c>
      <c r="W75" s="42" t="s">
        <v>127</v>
      </c>
      <c r="X75" s="36">
        <f t="shared" si="3"/>
        <v>4</v>
      </c>
      <c r="Y75" s="162" t="s">
        <v>18</v>
      </c>
      <c r="Z75" s="163" t="s">
        <v>127</v>
      </c>
      <c r="AA75" s="164">
        <v>0</v>
      </c>
      <c r="AB75" s="165">
        <f t="shared" si="4"/>
        <v>0</v>
      </c>
      <c r="AC75" s="166">
        <f t="shared" si="5"/>
        <v>0</v>
      </c>
    </row>
    <row r="76" spans="1:29" ht="15.75" thickBot="1" x14ac:dyDescent="0.3">
      <c r="A76" s="4" t="s">
        <v>6</v>
      </c>
      <c r="B76" s="59">
        <f t="shared" si="6"/>
        <v>0</v>
      </c>
      <c r="C76" s="73">
        <v>4</v>
      </c>
      <c r="D76" s="72">
        <f t="shared" si="1"/>
        <v>0</v>
      </c>
      <c r="E76" s="73">
        <v>8</v>
      </c>
      <c r="F76" s="70" t="s">
        <v>123</v>
      </c>
      <c r="G76" s="64" t="s">
        <v>123</v>
      </c>
      <c r="H76" s="70">
        <f>TRUNC(I76*AC76*(1-AA76)*IF(Q76="Oui",1,0))</f>
        <v>0</v>
      </c>
      <c r="I76" s="65">
        <v>12</v>
      </c>
      <c r="J76" s="70" t="s">
        <v>123</v>
      </c>
      <c r="K76" s="64" t="s">
        <v>123</v>
      </c>
      <c r="L76" s="70">
        <f t="shared" si="2"/>
        <v>0</v>
      </c>
      <c r="M76" s="58">
        <v>16</v>
      </c>
      <c r="N76" s="43" t="s">
        <v>127</v>
      </c>
      <c r="O76" s="45" t="s">
        <v>127</v>
      </c>
      <c r="P76" s="44" t="s">
        <v>123</v>
      </c>
      <c r="Q76" s="45" t="s">
        <v>127</v>
      </c>
      <c r="R76" s="44" t="s">
        <v>123</v>
      </c>
      <c r="S76" s="45" t="s">
        <v>127</v>
      </c>
      <c r="T76" s="50" t="s">
        <v>127</v>
      </c>
      <c r="U76" s="45" t="s">
        <v>127</v>
      </c>
      <c r="V76" s="45" t="s">
        <v>127</v>
      </c>
      <c r="W76" s="45" t="s">
        <v>127</v>
      </c>
      <c r="X76" s="37">
        <f t="shared" si="3"/>
        <v>4</v>
      </c>
      <c r="Y76" s="167" t="s">
        <v>18</v>
      </c>
      <c r="Z76" s="168" t="s">
        <v>127</v>
      </c>
      <c r="AA76" s="169">
        <v>0</v>
      </c>
      <c r="AB76" s="170">
        <f t="shared" si="4"/>
        <v>0</v>
      </c>
      <c r="AC76" s="171">
        <f t="shared" si="5"/>
        <v>0</v>
      </c>
    </row>
    <row r="77" spans="1:29" ht="15.75" thickBot="1" x14ac:dyDescent="0.3">
      <c r="A77" s="31" t="s">
        <v>19</v>
      </c>
      <c r="B77" s="250" t="str">
        <f>B$68</f>
        <v>Nourriture</v>
      </c>
      <c r="C77" s="251"/>
      <c r="D77" s="217" t="str">
        <f>D$68</f>
        <v>Bois</v>
      </c>
      <c r="E77" s="218"/>
      <c r="F77" s="217" t="str">
        <f>F$68</f>
        <v>Fer</v>
      </c>
      <c r="G77" s="218"/>
      <c r="H77" s="217" t="str">
        <f>H$68</f>
        <v>Cuir</v>
      </c>
      <c r="I77" s="218"/>
      <c r="J77" s="217" t="str">
        <f>J$68</f>
        <v>Pierre</v>
      </c>
      <c r="K77" s="218"/>
      <c r="L77" s="217" t="str">
        <f>L$68</f>
        <v>Gemmes</v>
      </c>
      <c r="M77" s="223"/>
      <c r="N77" s="94" t="s">
        <v>108</v>
      </c>
      <c r="O77" s="92" t="s">
        <v>109</v>
      </c>
      <c r="P77" s="92" t="s">
        <v>110</v>
      </c>
      <c r="Q77" s="92" t="s">
        <v>171</v>
      </c>
      <c r="R77" s="92" t="s">
        <v>172</v>
      </c>
      <c r="S77" s="104" t="s">
        <v>116</v>
      </c>
      <c r="T77" s="6" t="str">
        <f t="shared" ref="T77:W77" si="7">T$68</f>
        <v>Comptoir</v>
      </c>
      <c r="U77" s="6" t="str">
        <f t="shared" si="7"/>
        <v>Marché</v>
      </c>
      <c r="V77" s="6" t="str">
        <f t="shared" si="7"/>
        <v>Banque</v>
      </c>
      <c r="W77" s="7" t="str">
        <f t="shared" si="7"/>
        <v>Palais</v>
      </c>
      <c r="X77" s="26"/>
      <c r="Y77" s="3"/>
      <c r="Z77" s="3"/>
      <c r="AA77" s="3"/>
      <c r="AB77" s="90"/>
      <c r="AC77" s="51"/>
    </row>
    <row r="78" spans="1:29" x14ac:dyDescent="0.25">
      <c r="A78" s="4" t="s">
        <v>10</v>
      </c>
      <c r="B78" s="57">
        <f>TRUNC(C78*AC78*(1-AA78)*IF(N78="Oui",1,0))</f>
        <v>0</v>
      </c>
      <c r="C78" s="71">
        <v>12</v>
      </c>
      <c r="D78" s="68">
        <f>TRUNC(E78*AC78*(1-AA78)*IF(O78="Oui",1,0))</f>
        <v>0</v>
      </c>
      <c r="E78" s="69">
        <v>4</v>
      </c>
      <c r="F78" s="70">
        <f t="shared" ref="F78:F85" si="8">TRUNC(G78*AC78*(1-AA78)*IF(P78="Oui",1,0))</f>
        <v>0</v>
      </c>
      <c r="G78" s="69">
        <v>8</v>
      </c>
      <c r="H78" s="70" t="s">
        <v>123</v>
      </c>
      <c r="I78" s="64" t="s">
        <v>123</v>
      </c>
      <c r="J78" s="70">
        <f t="shared" ref="J78:J85" si="9">TRUNC(K78*AC78*(1-AA78)*IF(R78="Oui",1,0))</f>
        <v>0</v>
      </c>
      <c r="K78" s="69">
        <v>16</v>
      </c>
      <c r="L78" s="70" t="s">
        <v>123</v>
      </c>
      <c r="M78" s="58" t="s">
        <v>123</v>
      </c>
      <c r="N78" s="40" t="s">
        <v>184</v>
      </c>
      <c r="O78" s="40" t="s">
        <v>127</v>
      </c>
      <c r="P78" s="40" t="s">
        <v>127</v>
      </c>
      <c r="Q78" s="39" t="s">
        <v>123</v>
      </c>
      <c r="R78" s="40" t="s">
        <v>127</v>
      </c>
      <c r="S78" s="39" t="s">
        <v>123</v>
      </c>
      <c r="T78" s="48" t="s">
        <v>127</v>
      </c>
      <c r="U78" s="40" t="s">
        <v>184</v>
      </c>
      <c r="V78" s="40" t="s">
        <v>127</v>
      </c>
      <c r="W78" s="40" t="s">
        <v>127</v>
      </c>
      <c r="X78" s="35">
        <f t="shared" si="3"/>
        <v>4</v>
      </c>
      <c r="Y78" s="157" t="s">
        <v>19</v>
      </c>
      <c r="Z78" s="158" t="s">
        <v>127</v>
      </c>
      <c r="AA78" s="172">
        <v>0</v>
      </c>
      <c r="AB78" s="160">
        <f t="shared" si="4"/>
        <v>0</v>
      </c>
      <c r="AC78" s="161">
        <f t="shared" si="5"/>
        <v>0</v>
      </c>
    </row>
    <row r="79" spans="1:29" x14ac:dyDescent="0.25">
      <c r="A79" s="4" t="s">
        <v>11</v>
      </c>
      <c r="B79" s="57">
        <f>TRUNC(C79*AC79*(1-AA79)*IF(N79="Oui",1,0))</f>
        <v>0</v>
      </c>
      <c r="C79" s="71">
        <v>8</v>
      </c>
      <c r="D79" s="70" t="s">
        <v>123</v>
      </c>
      <c r="E79" s="64" t="s">
        <v>123</v>
      </c>
      <c r="F79" s="70">
        <f t="shared" si="8"/>
        <v>0</v>
      </c>
      <c r="G79" s="71">
        <v>16</v>
      </c>
      <c r="H79" s="70">
        <f>TRUNC(I79*AC79*(1-AA79)*IF(Q79="Oui",1,0))</f>
        <v>0</v>
      </c>
      <c r="I79" s="71">
        <v>4</v>
      </c>
      <c r="J79" s="70">
        <f t="shared" si="9"/>
        <v>0</v>
      </c>
      <c r="K79" s="71">
        <v>12</v>
      </c>
      <c r="L79" s="70" t="s">
        <v>123</v>
      </c>
      <c r="M79" s="58" t="s">
        <v>123</v>
      </c>
      <c r="N79" s="42" t="s">
        <v>127</v>
      </c>
      <c r="O79" s="39" t="s">
        <v>123</v>
      </c>
      <c r="P79" s="42" t="s">
        <v>127</v>
      </c>
      <c r="Q79" s="42" t="s">
        <v>127</v>
      </c>
      <c r="R79" s="42" t="s">
        <v>127</v>
      </c>
      <c r="S79" s="39" t="s">
        <v>123</v>
      </c>
      <c r="T79" s="49" t="s">
        <v>184</v>
      </c>
      <c r="U79" s="42" t="s">
        <v>127</v>
      </c>
      <c r="V79" s="42" t="s">
        <v>246</v>
      </c>
      <c r="W79" s="42" t="s">
        <v>127</v>
      </c>
      <c r="X79" s="36">
        <f t="shared" si="3"/>
        <v>4</v>
      </c>
      <c r="Y79" s="162" t="s">
        <v>19</v>
      </c>
      <c r="Z79" s="163" t="s">
        <v>127</v>
      </c>
      <c r="AA79" s="173">
        <v>0</v>
      </c>
      <c r="AB79" s="165">
        <f t="shared" si="4"/>
        <v>0</v>
      </c>
      <c r="AC79" s="166">
        <f t="shared" si="5"/>
        <v>0</v>
      </c>
    </row>
    <row r="80" spans="1:29" x14ac:dyDescent="0.25">
      <c r="A80" s="4" t="s">
        <v>12</v>
      </c>
      <c r="B80" s="70" t="s">
        <v>123</v>
      </c>
      <c r="C80" s="64" t="s">
        <v>123</v>
      </c>
      <c r="D80" s="70">
        <f>TRUNC(E80*AC80*(1-AA80)*IF(O80="Oui",1,0))</f>
        <v>0</v>
      </c>
      <c r="E80" s="71">
        <v>8</v>
      </c>
      <c r="F80" s="70">
        <f t="shared" si="8"/>
        <v>0</v>
      </c>
      <c r="G80" s="71">
        <v>4</v>
      </c>
      <c r="H80" s="70">
        <f>TRUNC(I80*AC80*(1-AA80)*IF(Q80="Oui",1,0))</f>
        <v>0</v>
      </c>
      <c r="I80" s="71">
        <v>16</v>
      </c>
      <c r="J80" s="70">
        <f t="shared" si="9"/>
        <v>0</v>
      </c>
      <c r="K80" s="71">
        <v>12</v>
      </c>
      <c r="L80" s="70" t="s">
        <v>123</v>
      </c>
      <c r="M80" s="58" t="s">
        <v>123</v>
      </c>
      <c r="N80" s="39" t="s">
        <v>123</v>
      </c>
      <c r="O80" s="42" t="s">
        <v>127</v>
      </c>
      <c r="P80" s="42" t="s">
        <v>127</v>
      </c>
      <c r="Q80" s="42" t="s">
        <v>184</v>
      </c>
      <c r="R80" s="42" t="s">
        <v>127</v>
      </c>
      <c r="S80" s="39" t="s">
        <v>123</v>
      </c>
      <c r="T80" s="49" t="s">
        <v>127</v>
      </c>
      <c r="U80" s="42" t="s">
        <v>127</v>
      </c>
      <c r="V80" s="42" t="s">
        <v>246</v>
      </c>
      <c r="W80" s="42" t="s">
        <v>127</v>
      </c>
      <c r="X80" s="36">
        <f t="shared" si="3"/>
        <v>4</v>
      </c>
      <c r="Y80" s="162" t="s">
        <v>19</v>
      </c>
      <c r="Z80" s="163" t="s">
        <v>127</v>
      </c>
      <c r="AA80" s="173">
        <v>0</v>
      </c>
      <c r="AB80" s="165">
        <f t="shared" si="4"/>
        <v>0</v>
      </c>
      <c r="AC80" s="166">
        <f t="shared" si="5"/>
        <v>0</v>
      </c>
    </row>
    <row r="81" spans="1:29" x14ac:dyDescent="0.25">
      <c r="A81" s="4" t="s">
        <v>13</v>
      </c>
      <c r="B81" s="57">
        <f>TRUNC(C81*AC81*(1-AA81)*IF(N81="Oui",1,0))</f>
        <v>0</v>
      </c>
      <c r="C81" s="71">
        <v>4</v>
      </c>
      <c r="D81" s="70">
        <f>TRUNC(E81*AC81*(1-AA81)*IF(O81="Oui",1,0))</f>
        <v>0</v>
      </c>
      <c r="E81" s="71">
        <v>8</v>
      </c>
      <c r="F81" s="70">
        <f t="shared" si="8"/>
        <v>0</v>
      </c>
      <c r="G81" s="71">
        <v>12</v>
      </c>
      <c r="H81" s="70" t="s">
        <v>123</v>
      </c>
      <c r="I81" s="64" t="s">
        <v>123</v>
      </c>
      <c r="J81" s="70">
        <f t="shared" si="9"/>
        <v>0</v>
      </c>
      <c r="K81" s="71">
        <v>16</v>
      </c>
      <c r="L81" s="70" t="s">
        <v>123</v>
      </c>
      <c r="M81" s="58" t="s">
        <v>123</v>
      </c>
      <c r="N81" s="41" t="s">
        <v>127</v>
      </c>
      <c r="O81" s="42" t="s">
        <v>127</v>
      </c>
      <c r="P81" s="42" t="s">
        <v>127</v>
      </c>
      <c r="Q81" s="39" t="s">
        <v>123</v>
      </c>
      <c r="R81" s="42" t="s">
        <v>127</v>
      </c>
      <c r="S81" s="39" t="s">
        <v>123</v>
      </c>
      <c r="T81" s="49" t="s">
        <v>127</v>
      </c>
      <c r="U81" s="42" t="s">
        <v>246</v>
      </c>
      <c r="V81" s="42" t="s">
        <v>127</v>
      </c>
      <c r="W81" s="42" t="s">
        <v>127</v>
      </c>
      <c r="X81" s="36">
        <f t="shared" si="3"/>
        <v>4</v>
      </c>
      <c r="Y81" s="162" t="s">
        <v>19</v>
      </c>
      <c r="Z81" s="163" t="s">
        <v>127</v>
      </c>
      <c r="AA81" s="173">
        <v>0</v>
      </c>
      <c r="AB81" s="165">
        <f t="shared" si="4"/>
        <v>0</v>
      </c>
      <c r="AC81" s="166">
        <f t="shared" si="5"/>
        <v>0</v>
      </c>
    </row>
    <row r="82" spans="1:29" x14ac:dyDescent="0.25">
      <c r="A82" s="4" t="s">
        <v>14</v>
      </c>
      <c r="B82" s="57">
        <f>TRUNC(C82*AC82*(1-AA82)*IF(N82="Oui",1,0))</f>
        <v>0</v>
      </c>
      <c r="C82" s="71">
        <v>12</v>
      </c>
      <c r="D82" s="70" t="s">
        <v>123</v>
      </c>
      <c r="E82" s="64" t="s">
        <v>123</v>
      </c>
      <c r="F82" s="70">
        <f t="shared" si="8"/>
        <v>0</v>
      </c>
      <c r="G82" s="71">
        <v>4</v>
      </c>
      <c r="H82" s="70">
        <f>TRUNC(I82*AC82*(1-AA82)*IF(Q82="Oui",1,0))</f>
        <v>0</v>
      </c>
      <c r="I82" s="71">
        <v>8</v>
      </c>
      <c r="J82" s="70">
        <f t="shared" si="9"/>
        <v>0</v>
      </c>
      <c r="K82" s="71">
        <v>16</v>
      </c>
      <c r="L82" s="70" t="s">
        <v>123</v>
      </c>
      <c r="M82" s="58" t="s">
        <v>123</v>
      </c>
      <c r="N82" s="41" t="s">
        <v>184</v>
      </c>
      <c r="O82" s="39" t="s">
        <v>123</v>
      </c>
      <c r="P82" s="42" t="s">
        <v>127</v>
      </c>
      <c r="Q82" s="42" t="s">
        <v>127</v>
      </c>
      <c r="R82" s="42" t="s">
        <v>127</v>
      </c>
      <c r="S82" s="39" t="s">
        <v>123</v>
      </c>
      <c r="T82" s="49" t="s">
        <v>127</v>
      </c>
      <c r="U82" s="42" t="s">
        <v>184</v>
      </c>
      <c r="V82" s="42" t="s">
        <v>127</v>
      </c>
      <c r="W82" s="42" t="s">
        <v>127</v>
      </c>
      <c r="X82" s="36">
        <f t="shared" si="3"/>
        <v>4</v>
      </c>
      <c r="Y82" s="162" t="s">
        <v>19</v>
      </c>
      <c r="Z82" s="163" t="s">
        <v>127</v>
      </c>
      <c r="AA82" s="173">
        <v>0</v>
      </c>
      <c r="AB82" s="165">
        <f t="shared" si="4"/>
        <v>0</v>
      </c>
      <c r="AC82" s="166">
        <f t="shared" si="5"/>
        <v>0</v>
      </c>
    </row>
    <row r="83" spans="1:29" x14ac:dyDescent="0.25">
      <c r="A83" s="4" t="s">
        <v>15</v>
      </c>
      <c r="B83" s="57">
        <f>TRUNC(C83*AC83*(1-AA83)*IF(N83="Oui",1,0))</f>
        <v>0</v>
      </c>
      <c r="C83" s="71">
        <v>8</v>
      </c>
      <c r="D83" s="70" t="s">
        <v>123</v>
      </c>
      <c r="E83" s="64" t="s">
        <v>123</v>
      </c>
      <c r="F83" s="70">
        <f t="shared" si="8"/>
        <v>0</v>
      </c>
      <c r="G83" s="71">
        <v>12</v>
      </c>
      <c r="H83" s="70">
        <f>TRUNC(I83*AC83*(1-AA83)*IF(Q83="Oui",1,0))</f>
        <v>0</v>
      </c>
      <c r="I83" s="71">
        <v>4</v>
      </c>
      <c r="J83" s="70">
        <f>TRUNC(K83*AC83*(1-AA83)*IF(R83="Oui",1,0))</f>
        <v>0</v>
      </c>
      <c r="K83" s="71">
        <v>16</v>
      </c>
      <c r="L83" s="70" t="s">
        <v>123</v>
      </c>
      <c r="M83" s="58" t="s">
        <v>123</v>
      </c>
      <c r="N83" s="41" t="s">
        <v>127</v>
      </c>
      <c r="O83" s="39" t="s">
        <v>123</v>
      </c>
      <c r="P83" s="42" t="s">
        <v>127</v>
      </c>
      <c r="Q83" s="42" t="s">
        <v>127</v>
      </c>
      <c r="R83" s="42" t="s">
        <v>184</v>
      </c>
      <c r="S83" s="39" t="s">
        <v>123</v>
      </c>
      <c r="T83" s="49" t="s">
        <v>127</v>
      </c>
      <c r="U83" s="42" t="s">
        <v>127</v>
      </c>
      <c r="V83" s="42" t="s">
        <v>184</v>
      </c>
      <c r="W83" s="42" t="s">
        <v>184</v>
      </c>
      <c r="X83" s="36">
        <f t="shared" si="3"/>
        <v>7</v>
      </c>
      <c r="Y83" s="162" t="s">
        <v>19</v>
      </c>
      <c r="Z83" s="163" t="s">
        <v>127</v>
      </c>
      <c r="AA83" s="173">
        <v>0</v>
      </c>
      <c r="AB83" s="165">
        <f t="shared" si="4"/>
        <v>0</v>
      </c>
      <c r="AC83" s="166">
        <f t="shared" si="5"/>
        <v>0</v>
      </c>
    </row>
    <row r="84" spans="1:29" x14ac:dyDescent="0.25">
      <c r="A84" s="4" t="s">
        <v>16</v>
      </c>
      <c r="B84" s="70" t="s">
        <v>123</v>
      </c>
      <c r="C84" s="64" t="s">
        <v>123</v>
      </c>
      <c r="D84" s="70" t="s">
        <v>123</v>
      </c>
      <c r="E84" s="64" t="s">
        <v>123</v>
      </c>
      <c r="F84" s="70">
        <f t="shared" si="8"/>
        <v>0</v>
      </c>
      <c r="G84" s="71">
        <v>16</v>
      </c>
      <c r="H84" s="70">
        <f>TRUNC(I84*AC84*(1-AA84)*IF(Q84="Oui",1,0))</f>
        <v>0</v>
      </c>
      <c r="I84" s="71">
        <v>4</v>
      </c>
      <c r="J84" s="70">
        <f t="shared" si="9"/>
        <v>0</v>
      </c>
      <c r="K84" s="71">
        <v>8</v>
      </c>
      <c r="L84" s="70">
        <f>TRUNC(M84*AC84*(1-AA84)*IF(S84="Oui",1,0))</f>
        <v>0</v>
      </c>
      <c r="M84" s="58">
        <v>12</v>
      </c>
      <c r="N84" s="39" t="s">
        <v>123</v>
      </c>
      <c r="O84" s="39" t="s">
        <v>123</v>
      </c>
      <c r="P84" s="42" t="s">
        <v>127</v>
      </c>
      <c r="Q84" s="42" t="s">
        <v>127</v>
      </c>
      <c r="R84" s="42" t="s">
        <v>127</v>
      </c>
      <c r="S84" s="42" t="s">
        <v>184</v>
      </c>
      <c r="T84" s="49" t="s">
        <v>127</v>
      </c>
      <c r="U84" s="42" t="s">
        <v>184</v>
      </c>
      <c r="V84" s="42" t="s">
        <v>127</v>
      </c>
      <c r="W84" s="42" t="s">
        <v>127</v>
      </c>
      <c r="X84" s="36">
        <f t="shared" si="3"/>
        <v>4</v>
      </c>
      <c r="Y84" s="162" t="s">
        <v>19</v>
      </c>
      <c r="Z84" s="163" t="s">
        <v>127</v>
      </c>
      <c r="AA84" s="173">
        <v>0</v>
      </c>
      <c r="AB84" s="165">
        <f t="shared" si="4"/>
        <v>0</v>
      </c>
      <c r="AC84" s="166">
        <f t="shared" si="5"/>
        <v>0</v>
      </c>
    </row>
    <row r="85" spans="1:29" ht="15.75" thickBot="1" x14ac:dyDescent="0.3">
      <c r="A85" s="4" t="s">
        <v>17</v>
      </c>
      <c r="B85" s="59">
        <f>TRUNC(C85*AC85*(1-AA85)*IF(N85="Oui",1,0))</f>
        <v>0</v>
      </c>
      <c r="C85" s="71">
        <v>8</v>
      </c>
      <c r="D85" s="70" t="s">
        <v>123</v>
      </c>
      <c r="E85" s="64" t="s">
        <v>123</v>
      </c>
      <c r="F85" s="70">
        <f t="shared" si="8"/>
        <v>0</v>
      </c>
      <c r="G85" s="71">
        <v>12</v>
      </c>
      <c r="H85" s="70" t="s">
        <v>123</v>
      </c>
      <c r="I85" s="64" t="s">
        <v>123</v>
      </c>
      <c r="J85" s="70">
        <f t="shared" si="9"/>
        <v>0</v>
      </c>
      <c r="K85" s="71">
        <v>16</v>
      </c>
      <c r="L85" s="70">
        <f>TRUNC(M85*AC85*(1-AA85)*IF(S85="Oui",1,0))</f>
        <v>0</v>
      </c>
      <c r="M85" s="62">
        <v>4</v>
      </c>
      <c r="N85" s="43" t="s">
        <v>127</v>
      </c>
      <c r="O85" s="44" t="s">
        <v>123</v>
      </c>
      <c r="P85" s="45" t="s">
        <v>127</v>
      </c>
      <c r="Q85" s="44" t="s">
        <v>123</v>
      </c>
      <c r="R85" s="45" t="s">
        <v>184</v>
      </c>
      <c r="S85" s="45" t="s">
        <v>127</v>
      </c>
      <c r="T85" s="50" t="s">
        <v>127</v>
      </c>
      <c r="U85" s="45" t="s">
        <v>127</v>
      </c>
      <c r="V85" s="45" t="s">
        <v>246</v>
      </c>
      <c r="W85" s="45" t="s">
        <v>127</v>
      </c>
      <c r="X85" s="37">
        <f t="shared" si="3"/>
        <v>4</v>
      </c>
      <c r="Y85" s="167" t="s">
        <v>19</v>
      </c>
      <c r="Z85" s="168" t="s">
        <v>127</v>
      </c>
      <c r="AA85" s="174">
        <v>0</v>
      </c>
      <c r="AB85" s="170">
        <f t="shared" si="4"/>
        <v>0</v>
      </c>
      <c r="AC85" s="171">
        <f t="shared" si="5"/>
        <v>0</v>
      </c>
    </row>
    <row r="86" spans="1:29" ht="15.75" thickBot="1" x14ac:dyDescent="0.3">
      <c r="A86" s="31" t="s">
        <v>20</v>
      </c>
      <c r="B86" s="250" t="str">
        <f>B$68</f>
        <v>Nourriture</v>
      </c>
      <c r="C86" s="251"/>
      <c r="D86" s="217" t="str">
        <f>D$68</f>
        <v>Bois</v>
      </c>
      <c r="E86" s="218"/>
      <c r="F86" s="217" t="str">
        <f>F$68</f>
        <v>Fer</v>
      </c>
      <c r="G86" s="218"/>
      <c r="H86" s="217" t="str">
        <f>H$68</f>
        <v>Cuir</v>
      </c>
      <c r="I86" s="218"/>
      <c r="J86" s="217" t="str">
        <f>J$68</f>
        <v>Pierre</v>
      </c>
      <c r="K86" s="218"/>
      <c r="L86" s="217" t="str">
        <f>L$68</f>
        <v>Gemmes</v>
      </c>
      <c r="M86" s="223"/>
      <c r="N86" s="94" t="s">
        <v>108</v>
      </c>
      <c r="O86" s="92" t="s">
        <v>109</v>
      </c>
      <c r="P86" s="92" t="s">
        <v>110</v>
      </c>
      <c r="Q86" s="92" t="s">
        <v>171</v>
      </c>
      <c r="R86" s="92" t="s">
        <v>172</v>
      </c>
      <c r="S86" s="104" t="s">
        <v>116</v>
      </c>
      <c r="T86" s="6" t="str">
        <f t="shared" ref="T86:W86" si="10">T$68</f>
        <v>Comptoir</v>
      </c>
      <c r="U86" s="6" t="str">
        <f t="shared" si="10"/>
        <v>Marché</v>
      </c>
      <c r="V86" s="6" t="str">
        <f t="shared" si="10"/>
        <v>Banque</v>
      </c>
      <c r="W86" s="7" t="str">
        <f t="shared" si="10"/>
        <v>Palais</v>
      </c>
      <c r="X86" s="26"/>
      <c r="Y86" s="3"/>
      <c r="Z86" s="3"/>
      <c r="AA86" s="3"/>
      <c r="AB86" s="90"/>
      <c r="AC86" s="51"/>
    </row>
    <row r="87" spans="1:29" x14ac:dyDescent="0.25">
      <c r="A87" s="4" t="s">
        <v>21</v>
      </c>
      <c r="B87" s="57">
        <f t="shared" ref="B87:B95" si="11">TRUNC(C87*AC87*(1-AA87)*IF(N87="Oui",1,0))</f>
        <v>16</v>
      </c>
      <c r="C87" s="69">
        <v>16</v>
      </c>
      <c r="D87" s="68">
        <f>TRUNC(E87*AC87*(1-AA87)*IF(O87="Oui",1,0))</f>
        <v>0</v>
      </c>
      <c r="E87" s="71">
        <v>8</v>
      </c>
      <c r="F87" s="70" t="s">
        <v>123</v>
      </c>
      <c r="G87" s="64" t="s">
        <v>123</v>
      </c>
      <c r="H87" s="70">
        <f>TRUNC(I87*AC87*(1-AA87)*IF(Q87="Oui",1,0))</f>
        <v>0</v>
      </c>
      <c r="I87" s="69">
        <v>4</v>
      </c>
      <c r="J87" s="70" t="s">
        <v>123</v>
      </c>
      <c r="K87" s="64" t="s">
        <v>123</v>
      </c>
      <c r="L87" s="70">
        <f>TRUNC(M87*AC87*(1-AA87)*IF(S87="Oui",1,0))</f>
        <v>12</v>
      </c>
      <c r="M87" s="56">
        <v>12</v>
      </c>
      <c r="N87" s="41" t="s">
        <v>184</v>
      </c>
      <c r="O87" s="42" t="s">
        <v>127</v>
      </c>
      <c r="P87" s="39" t="s">
        <v>123</v>
      </c>
      <c r="Q87" s="42" t="s">
        <v>127</v>
      </c>
      <c r="R87" s="39" t="s">
        <v>123</v>
      </c>
      <c r="S87" s="42" t="s">
        <v>184</v>
      </c>
      <c r="T87" s="48" t="s">
        <v>184</v>
      </c>
      <c r="U87" s="40" t="s">
        <v>246</v>
      </c>
      <c r="V87" s="40" t="s">
        <v>127</v>
      </c>
      <c r="W87" s="40" t="s">
        <v>184</v>
      </c>
      <c r="X87" s="36">
        <f t="shared" si="3"/>
        <v>7</v>
      </c>
      <c r="Y87" s="157" t="s">
        <v>20</v>
      </c>
      <c r="Z87" s="158" t="s">
        <v>127</v>
      </c>
      <c r="AA87" s="172">
        <v>0</v>
      </c>
      <c r="AB87" s="160">
        <f t="shared" si="4"/>
        <v>27500</v>
      </c>
      <c r="AC87" s="161">
        <f t="shared" si="5"/>
        <v>1</v>
      </c>
    </row>
    <row r="88" spans="1:29" x14ac:dyDescent="0.25">
      <c r="A88" s="4" t="s">
        <v>23</v>
      </c>
      <c r="B88" s="57">
        <f t="shared" si="11"/>
        <v>0</v>
      </c>
      <c r="C88" s="71">
        <v>8</v>
      </c>
      <c r="D88" s="70">
        <f>TRUNC(E88*AC88*(1-AA88)*IF(O88="Oui",1,0))</f>
        <v>16</v>
      </c>
      <c r="E88" s="71">
        <v>16</v>
      </c>
      <c r="F88" s="70">
        <f t="shared" ref="F88:F95" si="12">TRUNC(G88*AC88*(1-AA88)*IF(P88="Oui",1,0))</f>
        <v>0</v>
      </c>
      <c r="G88" s="71">
        <v>4</v>
      </c>
      <c r="H88" s="70" t="s">
        <v>123</v>
      </c>
      <c r="I88" s="64" t="s">
        <v>123</v>
      </c>
      <c r="J88" s="70">
        <f>TRUNC(K88*AC88*(1-AA88)*IF(R88="Oui",1,0))</f>
        <v>12</v>
      </c>
      <c r="K88" s="71">
        <v>12</v>
      </c>
      <c r="L88" s="70" t="s">
        <v>123</v>
      </c>
      <c r="M88" s="58" t="s">
        <v>123</v>
      </c>
      <c r="N88" s="41" t="s">
        <v>127</v>
      </c>
      <c r="O88" s="42" t="s">
        <v>184</v>
      </c>
      <c r="P88" s="42" t="s">
        <v>127</v>
      </c>
      <c r="Q88" s="39" t="s">
        <v>123</v>
      </c>
      <c r="R88" s="42" t="s">
        <v>184</v>
      </c>
      <c r="S88" s="39" t="s">
        <v>123</v>
      </c>
      <c r="T88" s="49" t="s">
        <v>184</v>
      </c>
      <c r="U88" s="42" t="s">
        <v>246</v>
      </c>
      <c r="V88" s="42" t="s">
        <v>127</v>
      </c>
      <c r="W88" s="42" t="s">
        <v>127</v>
      </c>
      <c r="X88" s="36">
        <f t="shared" si="3"/>
        <v>4</v>
      </c>
      <c r="Y88" s="162" t="s">
        <v>20</v>
      </c>
      <c r="Z88" s="163" t="s">
        <v>127</v>
      </c>
      <c r="AA88" s="173">
        <v>0</v>
      </c>
      <c r="AB88" s="165">
        <f t="shared" si="4"/>
        <v>7500</v>
      </c>
      <c r="AC88" s="166">
        <f t="shared" si="5"/>
        <v>1</v>
      </c>
    </row>
    <row r="89" spans="1:29" x14ac:dyDescent="0.25">
      <c r="A89" s="4" t="s">
        <v>22</v>
      </c>
      <c r="B89" s="57">
        <f t="shared" si="11"/>
        <v>0</v>
      </c>
      <c r="C89" s="71">
        <v>12</v>
      </c>
      <c r="D89" s="70">
        <f>TRUNC(E89*AC89*(1-AA89)*IF(O89="Oui",1,0))</f>
        <v>0</v>
      </c>
      <c r="E89" s="71">
        <v>8</v>
      </c>
      <c r="F89" s="70">
        <f t="shared" si="12"/>
        <v>16</v>
      </c>
      <c r="G89" s="71">
        <v>16</v>
      </c>
      <c r="H89" s="70" t="s">
        <v>123</v>
      </c>
      <c r="I89" s="64" t="s">
        <v>123</v>
      </c>
      <c r="J89" s="70">
        <f>TRUNC(K89*AC89*(1-AA89)*IF(R89="Oui",1,0))</f>
        <v>0</v>
      </c>
      <c r="K89" s="71">
        <v>4</v>
      </c>
      <c r="L89" s="70" t="s">
        <v>123</v>
      </c>
      <c r="M89" s="58" t="s">
        <v>123</v>
      </c>
      <c r="N89" s="41" t="s">
        <v>127</v>
      </c>
      <c r="O89" s="42" t="s">
        <v>127</v>
      </c>
      <c r="P89" s="42" t="s">
        <v>184</v>
      </c>
      <c r="Q89" s="39" t="s">
        <v>123</v>
      </c>
      <c r="R89" s="42" t="s">
        <v>127</v>
      </c>
      <c r="S89" s="39" t="s">
        <v>123</v>
      </c>
      <c r="T89" s="49" t="s">
        <v>184</v>
      </c>
      <c r="U89" s="42" t="s">
        <v>127</v>
      </c>
      <c r="V89" s="42" t="s">
        <v>127</v>
      </c>
      <c r="W89" s="42" t="s">
        <v>127</v>
      </c>
      <c r="X89" s="36">
        <f t="shared" si="3"/>
        <v>4</v>
      </c>
      <c r="Y89" s="162" t="s">
        <v>20</v>
      </c>
      <c r="Z89" s="163" t="s">
        <v>127</v>
      </c>
      <c r="AA89" s="173">
        <v>0</v>
      </c>
      <c r="AB89" s="165">
        <f t="shared" si="4"/>
        <v>7500</v>
      </c>
      <c r="AC89" s="166">
        <f t="shared" si="5"/>
        <v>1</v>
      </c>
    </row>
    <row r="90" spans="1:29" x14ac:dyDescent="0.25">
      <c r="A90" s="4" t="s">
        <v>24</v>
      </c>
      <c r="B90" s="57">
        <f t="shared" si="11"/>
        <v>16</v>
      </c>
      <c r="C90" s="71">
        <v>16</v>
      </c>
      <c r="D90" s="70">
        <f>TRUNC(E90*AC90*(1-AA90)*IF(O90="Oui",1,0))</f>
        <v>12</v>
      </c>
      <c r="E90" s="71">
        <v>12</v>
      </c>
      <c r="F90" s="70">
        <f t="shared" si="12"/>
        <v>0</v>
      </c>
      <c r="G90" s="71">
        <v>8</v>
      </c>
      <c r="H90" s="70" t="s">
        <v>123</v>
      </c>
      <c r="I90" s="64" t="s">
        <v>123</v>
      </c>
      <c r="J90" s="70">
        <f>TRUNC(K90*AC90*(1-AA90)*IF(R90="Oui",1,0))</f>
        <v>0</v>
      </c>
      <c r="K90" s="71">
        <v>4</v>
      </c>
      <c r="L90" s="70" t="s">
        <v>123</v>
      </c>
      <c r="M90" s="58" t="s">
        <v>123</v>
      </c>
      <c r="N90" s="41" t="s">
        <v>184</v>
      </c>
      <c r="O90" s="42" t="s">
        <v>184</v>
      </c>
      <c r="P90" s="42" t="s">
        <v>127</v>
      </c>
      <c r="Q90" s="39" t="s">
        <v>123</v>
      </c>
      <c r="R90" s="42" t="s">
        <v>127</v>
      </c>
      <c r="S90" s="39" t="s">
        <v>123</v>
      </c>
      <c r="T90" s="49" t="s">
        <v>184</v>
      </c>
      <c r="U90" s="42" t="s">
        <v>127</v>
      </c>
      <c r="V90" s="42" t="s">
        <v>127</v>
      </c>
      <c r="W90" s="42" t="s">
        <v>127</v>
      </c>
      <c r="X90" s="36">
        <f t="shared" si="3"/>
        <v>4</v>
      </c>
      <c r="Y90" s="162" t="s">
        <v>20</v>
      </c>
      <c r="Z90" s="163" t="s">
        <v>127</v>
      </c>
      <c r="AA90" s="173">
        <v>0</v>
      </c>
      <c r="AB90" s="165">
        <f t="shared" si="4"/>
        <v>7500</v>
      </c>
      <c r="AC90" s="166">
        <f t="shared" si="5"/>
        <v>1</v>
      </c>
    </row>
    <row r="91" spans="1:29" x14ac:dyDescent="0.25">
      <c r="A91" s="4" t="s">
        <v>25</v>
      </c>
      <c r="B91" s="57">
        <f t="shared" si="11"/>
        <v>16</v>
      </c>
      <c r="C91" s="71">
        <v>16</v>
      </c>
      <c r="D91" s="70">
        <f>TRUNC(E91*AC91*(1-AA91)*IF(O91="Oui",1,0))</f>
        <v>0</v>
      </c>
      <c r="E91" s="71">
        <v>8</v>
      </c>
      <c r="F91" s="70">
        <f t="shared" si="12"/>
        <v>0</v>
      </c>
      <c r="G91" s="71">
        <v>12</v>
      </c>
      <c r="H91" s="70">
        <f>TRUNC(I91*AC91*(1-AA91)*IF(Q91="Oui",1,0))</f>
        <v>0</v>
      </c>
      <c r="I91" s="71">
        <v>4</v>
      </c>
      <c r="J91" s="70" t="s">
        <v>123</v>
      </c>
      <c r="K91" s="64" t="s">
        <v>123</v>
      </c>
      <c r="L91" s="70" t="s">
        <v>123</v>
      </c>
      <c r="M91" s="58" t="s">
        <v>123</v>
      </c>
      <c r="N91" s="41" t="s">
        <v>184</v>
      </c>
      <c r="O91" s="42" t="s">
        <v>127</v>
      </c>
      <c r="P91" s="42" t="s">
        <v>127</v>
      </c>
      <c r="Q91" s="42" t="s">
        <v>127</v>
      </c>
      <c r="R91" s="39" t="s">
        <v>123</v>
      </c>
      <c r="S91" s="39" t="s">
        <v>123</v>
      </c>
      <c r="T91" s="49" t="s">
        <v>184</v>
      </c>
      <c r="U91" s="42" t="s">
        <v>127</v>
      </c>
      <c r="V91" s="42" t="s">
        <v>127</v>
      </c>
      <c r="W91" s="42" t="s">
        <v>127</v>
      </c>
      <c r="X91" s="36">
        <f t="shared" si="3"/>
        <v>4</v>
      </c>
      <c r="Y91" s="162" t="s">
        <v>20</v>
      </c>
      <c r="Z91" s="163" t="s">
        <v>127</v>
      </c>
      <c r="AA91" s="173">
        <v>0</v>
      </c>
      <c r="AB91" s="165">
        <f t="shared" si="4"/>
        <v>7500</v>
      </c>
      <c r="AC91" s="166">
        <f t="shared" si="5"/>
        <v>1</v>
      </c>
    </row>
    <row r="92" spans="1:29" x14ac:dyDescent="0.25">
      <c r="A92" s="4" t="s">
        <v>51</v>
      </c>
      <c r="B92" s="57">
        <f t="shared" si="11"/>
        <v>0</v>
      </c>
      <c r="C92" s="71">
        <v>12</v>
      </c>
      <c r="D92" s="70" t="s">
        <v>123</v>
      </c>
      <c r="E92" s="64" t="s">
        <v>123</v>
      </c>
      <c r="F92" s="70">
        <f t="shared" si="12"/>
        <v>16</v>
      </c>
      <c r="G92" s="71">
        <v>16</v>
      </c>
      <c r="H92" s="70">
        <f>TRUNC(I92*AC92*(1-AA92)*IF(Q92="Oui",1,0))</f>
        <v>0</v>
      </c>
      <c r="I92" s="71">
        <v>4</v>
      </c>
      <c r="J92" s="70">
        <f>TRUNC(K92*AC92*(1-AA92)*IF(R92="Oui",1,0))</f>
        <v>0</v>
      </c>
      <c r="K92" s="71">
        <v>8</v>
      </c>
      <c r="L92" s="70" t="s">
        <v>123</v>
      </c>
      <c r="M92" s="58" t="s">
        <v>123</v>
      </c>
      <c r="N92" s="41" t="s">
        <v>127</v>
      </c>
      <c r="O92" s="39" t="s">
        <v>123</v>
      </c>
      <c r="P92" s="42" t="s">
        <v>184</v>
      </c>
      <c r="Q92" s="42" t="s">
        <v>127</v>
      </c>
      <c r="R92" s="42" t="s">
        <v>127</v>
      </c>
      <c r="S92" s="39" t="s">
        <v>123</v>
      </c>
      <c r="T92" s="49" t="s">
        <v>184</v>
      </c>
      <c r="U92" s="42" t="s">
        <v>127</v>
      </c>
      <c r="V92" s="42" t="s">
        <v>127</v>
      </c>
      <c r="W92" s="42" t="s">
        <v>127</v>
      </c>
      <c r="X92" s="36">
        <f t="shared" si="3"/>
        <v>4</v>
      </c>
      <c r="Y92" s="162" t="s">
        <v>20</v>
      </c>
      <c r="Z92" s="163" t="s">
        <v>127</v>
      </c>
      <c r="AA92" s="173">
        <v>0</v>
      </c>
      <c r="AB92" s="165">
        <f t="shared" si="4"/>
        <v>7500</v>
      </c>
      <c r="AC92" s="166">
        <f t="shared" si="5"/>
        <v>1</v>
      </c>
    </row>
    <row r="93" spans="1:29" x14ac:dyDescent="0.25">
      <c r="A93" s="4" t="s">
        <v>26</v>
      </c>
      <c r="B93" s="57">
        <f t="shared" si="11"/>
        <v>0</v>
      </c>
      <c r="C93" s="71">
        <v>16</v>
      </c>
      <c r="D93" s="70" t="s">
        <v>123</v>
      </c>
      <c r="E93" s="64" t="s">
        <v>123</v>
      </c>
      <c r="F93" s="70">
        <f t="shared" si="12"/>
        <v>0</v>
      </c>
      <c r="G93" s="71">
        <v>8</v>
      </c>
      <c r="H93" s="70" t="s">
        <v>123</v>
      </c>
      <c r="I93" s="64" t="s">
        <v>123</v>
      </c>
      <c r="J93" s="70">
        <f>TRUNC(K93*AC93*(1-AA93)*IF(R93="Oui",1,0))</f>
        <v>12</v>
      </c>
      <c r="K93" s="71">
        <v>12</v>
      </c>
      <c r="L93" s="70">
        <f>TRUNC(M93*AC93*(1-AA93)*IF(S93="Oui",1,0))</f>
        <v>0</v>
      </c>
      <c r="M93" s="58">
        <v>4</v>
      </c>
      <c r="N93" s="41" t="s">
        <v>127</v>
      </c>
      <c r="O93" s="39" t="s">
        <v>123</v>
      </c>
      <c r="P93" s="42" t="s">
        <v>127</v>
      </c>
      <c r="Q93" s="39" t="s">
        <v>123</v>
      </c>
      <c r="R93" s="42" t="s">
        <v>184</v>
      </c>
      <c r="S93" s="42" t="s">
        <v>127</v>
      </c>
      <c r="T93" s="49" t="s">
        <v>184</v>
      </c>
      <c r="U93" s="42" t="s">
        <v>127</v>
      </c>
      <c r="V93" s="42" t="s">
        <v>127</v>
      </c>
      <c r="W93" s="42" t="s">
        <v>127</v>
      </c>
      <c r="X93" s="36">
        <f t="shared" si="3"/>
        <v>4</v>
      </c>
      <c r="Y93" s="162" t="s">
        <v>20</v>
      </c>
      <c r="Z93" s="163" t="s">
        <v>127</v>
      </c>
      <c r="AA93" s="173">
        <v>0</v>
      </c>
      <c r="AB93" s="165">
        <f t="shared" si="4"/>
        <v>7500</v>
      </c>
      <c r="AC93" s="166">
        <f t="shared" si="5"/>
        <v>1</v>
      </c>
    </row>
    <row r="94" spans="1:29" x14ac:dyDescent="0.25">
      <c r="A94" s="4" t="s">
        <v>27</v>
      </c>
      <c r="B94" s="57">
        <f t="shared" si="11"/>
        <v>16</v>
      </c>
      <c r="C94" s="71">
        <v>16</v>
      </c>
      <c r="D94" s="70" t="s">
        <v>123</v>
      </c>
      <c r="E94" s="64" t="s">
        <v>123</v>
      </c>
      <c r="F94" s="70">
        <f t="shared" si="12"/>
        <v>0</v>
      </c>
      <c r="G94" s="71">
        <v>12</v>
      </c>
      <c r="H94" s="70">
        <f>TRUNC(I94*AC94*(1-AA94)*IF(Q94="Oui",1,0))</f>
        <v>0</v>
      </c>
      <c r="I94" s="75">
        <v>8</v>
      </c>
      <c r="J94" s="70">
        <f>TRUNC(K94*AC94*(1-AA94)*IF(R94="Oui",1,0))</f>
        <v>0</v>
      </c>
      <c r="K94" s="71">
        <v>4</v>
      </c>
      <c r="L94" s="70" t="s">
        <v>123</v>
      </c>
      <c r="M94" s="58" t="s">
        <v>123</v>
      </c>
      <c r="N94" s="41" t="s">
        <v>184</v>
      </c>
      <c r="O94" s="39" t="s">
        <v>123</v>
      </c>
      <c r="P94" s="42" t="s">
        <v>127</v>
      </c>
      <c r="Q94" s="42" t="s">
        <v>127</v>
      </c>
      <c r="R94" s="42" t="s">
        <v>127</v>
      </c>
      <c r="S94" s="39" t="s">
        <v>123</v>
      </c>
      <c r="T94" s="49" t="s">
        <v>184</v>
      </c>
      <c r="U94" s="42" t="s">
        <v>246</v>
      </c>
      <c r="V94" s="42" t="s">
        <v>127</v>
      </c>
      <c r="W94" s="42" t="s">
        <v>127</v>
      </c>
      <c r="X94" s="36">
        <f t="shared" si="3"/>
        <v>4</v>
      </c>
      <c r="Y94" s="162" t="s">
        <v>20</v>
      </c>
      <c r="Z94" s="163" t="s">
        <v>127</v>
      </c>
      <c r="AA94" s="173">
        <v>0</v>
      </c>
      <c r="AB94" s="165">
        <f t="shared" si="4"/>
        <v>7500</v>
      </c>
      <c r="AC94" s="166">
        <f t="shared" si="5"/>
        <v>1</v>
      </c>
    </row>
    <row r="95" spans="1:29" ht="15.75" thickBot="1" x14ac:dyDescent="0.3">
      <c r="A95" s="4" t="s">
        <v>28</v>
      </c>
      <c r="B95" s="57">
        <f t="shared" si="11"/>
        <v>0</v>
      </c>
      <c r="C95" s="71">
        <v>16</v>
      </c>
      <c r="D95" s="70">
        <f>TRUNC(E95*AC95*(1-AA95)*IF(O95="Oui",1,0))</f>
        <v>0</v>
      </c>
      <c r="E95" s="71">
        <v>8</v>
      </c>
      <c r="F95" s="70">
        <f t="shared" si="12"/>
        <v>0</v>
      </c>
      <c r="G95" s="71">
        <v>12</v>
      </c>
      <c r="H95" s="70">
        <f>TRUNC(I95*AC95*(1-AA95)*IF(Q95="Oui",1,0))</f>
        <v>0</v>
      </c>
      <c r="I95" s="75">
        <v>4</v>
      </c>
      <c r="J95" s="70" t="s">
        <v>123</v>
      </c>
      <c r="K95" s="64" t="s">
        <v>123</v>
      </c>
      <c r="L95" s="70" t="s">
        <v>123</v>
      </c>
      <c r="M95" s="58" t="s">
        <v>123</v>
      </c>
      <c r="N95" s="43" t="s">
        <v>127</v>
      </c>
      <c r="O95" s="45" t="s">
        <v>127</v>
      </c>
      <c r="P95" s="45" t="s">
        <v>127</v>
      </c>
      <c r="Q95" s="45" t="s">
        <v>127</v>
      </c>
      <c r="R95" s="44" t="s">
        <v>123</v>
      </c>
      <c r="S95" s="44" t="s">
        <v>123</v>
      </c>
      <c r="T95" s="50" t="s">
        <v>184</v>
      </c>
      <c r="U95" s="45" t="s">
        <v>127</v>
      </c>
      <c r="V95" s="45" t="s">
        <v>127</v>
      </c>
      <c r="W95" s="45" t="s">
        <v>127</v>
      </c>
      <c r="X95" s="37">
        <f t="shared" si="3"/>
        <v>4</v>
      </c>
      <c r="Y95" s="167" t="s">
        <v>20</v>
      </c>
      <c r="Z95" s="168" t="s">
        <v>127</v>
      </c>
      <c r="AA95" s="174">
        <v>0</v>
      </c>
      <c r="AB95" s="170">
        <f t="shared" si="4"/>
        <v>7500</v>
      </c>
      <c r="AC95" s="171">
        <f t="shared" si="5"/>
        <v>1</v>
      </c>
    </row>
    <row r="96" spans="1:29" ht="15.75" thickBot="1" x14ac:dyDescent="0.3">
      <c r="A96" s="31" t="s">
        <v>29</v>
      </c>
      <c r="B96" s="250" t="str">
        <f>B$68</f>
        <v>Nourriture</v>
      </c>
      <c r="C96" s="251"/>
      <c r="D96" s="217" t="str">
        <f>D$68</f>
        <v>Bois</v>
      </c>
      <c r="E96" s="218"/>
      <c r="F96" s="217" t="str">
        <f>F$68</f>
        <v>Fer</v>
      </c>
      <c r="G96" s="218"/>
      <c r="H96" s="217" t="str">
        <f>H$68</f>
        <v>Cuir</v>
      </c>
      <c r="I96" s="218"/>
      <c r="J96" s="217" t="str">
        <f>J$68</f>
        <v>Pierre</v>
      </c>
      <c r="K96" s="218"/>
      <c r="L96" s="217" t="str">
        <f>L$68</f>
        <v>Gemmes</v>
      </c>
      <c r="M96" s="223"/>
      <c r="N96" s="94" t="s">
        <v>108</v>
      </c>
      <c r="O96" s="92" t="s">
        <v>109</v>
      </c>
      <c r="P96" s="92" t="s">
        <v>110</v>
      </c>
      <c r="Q96" s="92" t="s">
        <v>171</v>
      </c>
      <c r="R96" s="92" t="s">
        <v>172</v>
      </c>
      <c r="S96" s="104" t="s">
        <v>116</v>
      </c>
      <c r="T96" s="6" t="str">
        <f t="shared" ref="T96:W96" si="13">T$68</f>
        <v>Comptoir</v>
      </c>
      <c r="U96" s="6" t="str">
        <f t="shared" si="13"/>
        <v>Marché</v>
      </c>
      <c r="V96" s="6" t="str">
        <f t="shared" si="13"/>
        <v>Banque</v>
      </c>
      <c r="W96" s="6" t="str">
        <f t="shared" si="13"/>
        <v>Palais</v>
      </c>
      <c r="X96" s="26"/>
      <c r="Y96" s="3"/>
      <c r="Z96" s="3"/>
      <c r="AA96" s="3"/>
      <c r="AB96" s="90"/>
      <c r="AC96" s="51"/>
    </row>
    <row r="97" spans="1:29" x14ac:dyDescent="0.25">
      <c r="A97" s="4" t="s">
        <v>30</v>
      </c>
      <c r="B97" s="70" t="s">
        <v>123</v>
      </c>
      <c r="C97" s="64" t="s">
        <v>123</v>
      </c>
      <c r="D97" s="68">
        <f>TRUNC(E97*AC97*(1-AA97)*IF(O97="Oui",1,0))</f>
        <v>0</v>
      </c>
      <c r="E97" s="69">
        <v>16</v>
      </c>
      <c r="F97" s="70" t="s">
        <v>123</v>
      </c>
      <c r="G97" s="64" t="s">
        <v>123</v>
      </c>
      <c r="H97" s="70">
        <f t="shared" ref="H97:H103" si="14">TRUNC(I97*AC97*(1-AA97)*IF(Q97="Oui",1,0))</f>
        <v>0</v>
      </c>
      <c r="I97" s="69">
        <v>12</v>
      </c>
      <c r="J97" s="70">
        <f t="shared" ref="J97:J103" si="15">TRUNC(K97*AC97*(1-AA97)*IF(R97="Oui",1,0))</f>
        <v>0</v>
      </c>
      <c r="K97" s="69">
        <v>8</v>
      </c>
      <c r="L97" s="70">
        <f>TRUNC(M97*AC97*(1-AA97)*IF(S97="Oui",1,0))</f>
        <v>0</v>
      </c>
      <c r="M97" s="56">
        <v>4</v>
      </c>
      <c r="N97" s="39" t="s">
        <v>123</v>
      </c>
      <c r="O97" s="42" t="s">
        <v>127</v>
      </c>
      <c r="P97" s="39" t="s">
        <v>123</v>
      </c>
      <c r="Q97" s="42" t="s">
        <v>127</v>
      </c>
      <c r="R97" s="42" t="s">
        <v>127</v>
      </c>
      <c r="S97" s="42" t="s">
        <v>127</v>
      </c>
      <c r="T97" s="48" t="s">
        <v>184</v>
      </c>
      <c r="U97" s="40" t="s">
        <v>127</v>
      </c>
      <c r="V97" s="40" t="s">
        <v>246</v>
      </c>
      <c r="W97" s="40" t="s">
        <v>184</v>
      </c>
      <c r="X97" s="36">
        <f t="shared" si="3"/>
        <v>7</v>
      </c>
      <c r="Y97" s="157" t="s">
        <v>29</v>
      </c>
      <c r="Z97" s="158" t="s">
        <v>127</v>
      </c>
      <c r="AA97" s="172">
        <v>0</v>
      </c>
      <c r="AB97" s="160">
        <f t="shared" si="4"/>
        <v>0</v>
      </c>
      <c r="AC97" s="161">
        <f t="shared" si="5"/>
        <v>0</v>
      </c>
    </row>
    <row r="98" spans="1:29" x14ac:dyDescent="0.25">
      <c r="A98" s="4" t="s">
        <v>31</v>
      </c>
      <c r="B98" s="57">
        <f>TRUNC(C98*AC98*(1-AA98)*IF(N98="Oui",1,0))</f>
        <v>0</v>
      </c>
      <c r="C98" s="71">
        <v>4</v>
      </c>
      <c r="D98" s="70" t="s">
        <v>123</v>
      </c>
      <c r="E98" s="64" t="s">
        <v>123</v>
      </c>
      <c r="F98" s="70">
        <f>TRUNC(G98*AC98*(1-AA98)*IF(P98="Oui",1,0))</f>
        <v>0</v>
      </c>
      <c r="G98" s="71">
        <v>8</v>
      </c>
      <c r="H98" s="70">
        <f t="shared" si="14"/>
        <v>0</v>
      </c>
      <c r="I98" s="71">
        <v>12</v>
      </c>
      <c r="J98" s="70">
        <f t="shared" si="15"/>
        <v>0</v>
      </c>
      <c r="K98" s="71">
        <v>16</v>
      </c>
      <c r="L98" s="70" t="s">
        <v>123</v>
      </c>
      <c r="M98" s="58" t="s">
        <v>123</v>
      </c>
      <c r="N98" s="41" t="s">
        <v>127</v>
      </c>
      <c r="O98" s="39" t="s">
        <v>123</v>
      </c>
      <c r="P98" s="42" t="s">
        <v>127</v>
      </c>
      <c r="Q98" s="42" t="s">
        <v>127</v>
      </c>
      <c r="R98" s="42" t="s">
        <v>246</v>
      </c>
      <c r="S98" s="39" t="s">
        <v>123</v>
      </c>
      <c r="T98" s="49" t="s">
        <v>184</v>
      </c>
      <c r="U98" s="42" t="s">
        <v>127</v>
      </c>
      <c r="V98" s="42" t="s">
        <v>127</v>
      </c>
      <c r="W98" s="42" t="s">
        <v>127</v>
      </c>
      <c r="X98" s="36">
        <f t="shared" si="3"/>
        <v>4</v>
      </c>
      <c r="Y98" s="162" t="s">
        <v>29</v>
      </c>
      <c r="Z98" s="163" t="s">
        <v>127</v>
      </c>
      <c r="AA98" s="173">
        <v>0</v>
      </c>
      <c r="AB98" s="165">
        <f t="shared" si="4"/>
        <v>0</v>
      </c>
      <c r="AC98" s="166">
        <f t="shared" si="5"/>
        <v>0</v>
      </c>
    </row>
    <row r="99" spans="1:29" x14ac:dyDescent="0.25">
      <c r="A99" s="4" t="s">
        <v>187</v>
      </c>
      <c r="B99" s="57">
        <f>TRUNC(C99*AC99*(1-AA99)*IF(N99="Oui",1,0))</f>
        <v>0</v>
      </c>
      <c r="C99" s="71">
        <v>4</v>
      </c>
      <c r="D99" s="70">
        <f>TRUNC(E99*AC99*(1-AA99)*IF(O99="Oui",1,0))</f>
        <v>0</v>
      </c>
      <c r="E99" s="71">
        <v>16</v>
      </c>
      <c r="F99" s="70" t="s">
        <v>123</v>
      </c>
      <c r="G99" s="64" t="s">
        <v>123</v>
      </c>
      <c r="H99" s="70">
        <f t="shared" si="14"/>
        <v>0</v>
      </c>
      <c r="I99" s="71">
        <v>12</v>
      </c>
      <c r="J99" s="70">
        <f t="shared" si="15"/>
        <v>0</v>
      </c>
      <c r="K99" s="71">
        <v>8</v>
      </c>
      <c r="L99" s="70" t="s">
        <v>123</v>
      </c>
      <c r="M99" s="58" t="s">
        <v>123</v>
      </c>
      <c r="N99" s="41" t="s">
        <v>127</v>
      </c>
      <c r="O99" s="42" t="s">
        <v>246</v>
      </c>
      <c r="P99" s="39" t="s">
        <v>123</v>
      </c>
      <c r="Q99" s="42" t="s">
        <v>127</v>
      </c>
      <c r="R99" s="42" t="s">
        <v>127</v>
      </c>
      <c r="S99" s="39" t="s">
        <v>123</v>
      </c>
      <c r="T99" s="49" t="s">
        <v>127</v>
      </c>
      <c r="U99" s="42" t="s">
        <v>246</v>
      </c>
      <c r="V99" s="42" t="s">
        <v>127</v>
      </c>
      <c r="W99" s="42" t="s">
        <v>127</v>
      </c>
      <c r="X99" s="36">
        <f t="shared" si="3"/>
        <v>4</v>
      </c>
      <c r="Y99" s="162" t="s">
        <v>29</v>
      </c>
      <c r="Z99" s="163" t="s">
        <v>127</v>
      </c>
      <c r="AA99" s="173">
        <v>0</v>
      </c>
      <c r="AB99" s="165">
        <f t="shared" si="4"/>
        <v>0</v>
      </c>
      <c r="AC99" s="166">
        <f t="shared" si="5"/>
        <v>0</v>
      </c>
    </row>
    <row r="100" spans="1:29" x14ac:dyDescent="0.25">
      <c r="A100" s="4" t="s">
        <v>32</v>
      </c>
      <c r="B100" s="70" t="s">
        <v>123</v>
      </c>
      <c r="C100" s="64" t="s">
        <v>123</v>
      </c>
      <c r="D100" s="70">
        <f>TRUNC(E100*AC100*(1-AA100)*IF(O100="Oui",1,0))</f>
        <v>0</v>
      </c>
      <c r="E100" s="71">
        <v>8</v>
      </c>
      <c r="F100" s="70">
        <f>TRUNC(G100*AC100*(1-AA100)*IF(P100="Oui",1,0))</f>
        <v>0</v>
      </c>
      <c r="G100" s="71">
        <v>4</v>
      </c>
      <c r="H100" s="70">
        <f t="shared" si="14"/>
        <v>0</v>
      </c>
      <c r="I100" s="71">
        <v>16</v>
      </c>
      <c r="J100" s="70">
        <f t="shared" si="15"/>
        <v>0</v>
      </c>
      <c r="K100" s="71">
        <v>12</v>
      </c>
      <c r="L100" s="70" t="s">
        <v>123</v>
      </c>
      <c r="M100" s="58" t="s">
        <v>123</v>
      </c>
      <c r="N100" s="39" t="s">
        <v>123</v>
      </c>
      <c r="O100" s="42" t="s">
        <v>127</v>
      </c>
      <c r="P100" s="42" t="s">
        <v>127</v>
      </c>
      <c r="Q100" s="42" t="s">
        <v>127</v>
      </c>
      <c r="R100" s="42" t="s">
        <v>127</v>
      </c>
      <c r="S100" s="39" t="s">
        <v>123</v>
      </c>
      <c r="T100" s="49" t="s">
        <v>127</v>
      </c>
      <c r="U100" s="42" t="s">
        <v>246</v>
      </c>
      <c r="V100" s="42" t="s">
        <v>127</v>
      </c>
      <c r="W100" s="42" t="s">
        <v>127</v>
      </c>
      <c r="X100" s="36">
        <f t="shared" si="3"/>
        <v>4</v>
      </c>
      <c r="Y100" s="162" t="s">
        <v>29</v>
      </c>
      <c r="Z100" s="163" t="s">
        <v>127</v>
      </c>
      <c r="AA100" s="173">
        <v>0</v>
      </c>
      <c r="AB100" s="165">
        <f t="shared" si="4"/>
        <v>0</v>
      </c>
      <c r="AC100" s="166">
        <f t="shared" si="5"/>
        <v>0</v>
      </c>
    </row>
    <row r="101" spans="1:29" x14ac:dyDescent="0.25">
      <c r="A101" s="4" t="s">
        <v>33</v>
      </c>
      <c r="B101" s="57">
        <f>TRUNC(C101*AC101*(1-AA101)*IF(N101="Oui",1,0))</f>
        <v>0</v>
      </c>
      <c r="C101" s="71">
        <v>4</v>
      </c>
      <c r="D101" s="70">
        <f>TRUNC(E101*AC101*(1-AA101)*IF(O101="Oui",1,0))</f>
        <v>0</v>
      </c>
      <c r="E101" s="71">
        <v>12</v>
      </c>
      <c r="F101" s="70" t="s">
        <v>123</v>
      </c>
      <c r="G101" s="64" t="s">
        <v>123</v>
      </c>
      <c r="H101" s="70">
        <f t="shared" si="14"/>
        <v>0</v>
      </c>
      <c r="I101" s="71">
        <v>8</v>
      </c>
      <c r="J101" s="70">
        <f t="shared" si="15"/>
        <v>0</v>
      </c>
      <c r="K101" s="71">
        <v>16</v>
      </c>
      <c r="L101" s="70" t="s">
        <v>123</v>
      </c>
      <c r="M101" s="58" t="s">
        <v>123</v>
      </c>
      <c r="N101" s="41" t="s">
        <v>127</v>
      </c>
      <c r="O101" s="42" t="s">
        <v>127</v>
      </c>
      <c r="P101" s="39" t="s">
        <v>123</v>
      </c>
      <c r="Q101" s="42" t="s">
        <v>127</v>
      </c>
      <c r="R101" s="42" t="s">
        <v>246</v>
      </c>
      <c r="S101" s="39" t="s">
        <v>123</v>
      </c>
      <c r="T101" s="49" t="s">
        <v>127</v>
      </c>
      <c r="U101" s="42" t="s">
        <v>127</v>
      </c>
      <c r="V101" s="42" t="s">
        <v>127</v>
      </c>
      <c r="W101" s="42" t="s">
        <v>127</v>
      </c>
      <c r="X101" s="36">
        <f t="shared" si="3"/>
        <v>4</v>
      </c>
      <c r="Y101" s="162" t="s">
        <v>29</v>
      </c>
      <c r="Z101" s="163" t="s">
        <v>127</v>
      </c>
      <c r="AA101" s="173">
        <v>0</v>
      </c>
      <c r="AB101" s="165">
        <f t="shared" si="4"/>
        <v>0</v>
      </c>
      <c r="AC101" s="166">
        <f t="shared" si="5"/>
        <v>0</v>
      </c>
    </row>
    <row r="102" spans="1:29" x14ac:dyDescent="0.25">
      <c r="A102" s="4" t="s">
        <v>34</v>
      </c>
      <c r="B102" s="57">
        <f>TRUNC(C102*AC102*(1-AA102)*IF(N102="Oui",1,0))</f>
        <v>0</v>
      </c>
      <c r="C102" s="71">
        <v>8</v>
      </c>
      <c r="D102" s="70">
        <f>TRUNC(E102*AC102*(1-AA102)*IF(O102="Oui",1,0))</f>
        <v>0</v>
      </c>
      <c r="E102" s="71">
        <v>16</v>
      </c>
      <c r="F102" s="70" t="s">
        <v>123</v>
      </c>
      <c r="G102" s="64" t="s">
        <v>123</v>
      </c>
      <c r="H102" s="70">
        <f t="shared" si="14"/>
        <v>0</v>
      </c>
      <c r="I102" s="71">
        <v>12</v>
      </c>
      <c r="J102" s="70">
        <f t="shared" si="15"/>
        <v>0</v>
      </c>
      <c r="K102" s="71">
        <v>4</v>
      </c>
      <c r="L102" s="70" t="s">
        <v>123</v>
      </c>
      <c r="M102" s="58" t="s">
        <v>123</v>
      </c>
      <c r="N102" s="41" t="s">
        <v>127</v>
      </c>
      <c r="O102" s="42" t="s">
        <v>246</v>
      </c>
      <c r="P102" s="39" t="s">
        <v>123</v>
      </c>
      <c r="Q102" s="42" t="s">
        <v>127</v>
      </c>
      <c r="R102" s="42" t="s">
        <v>127</v>
      </c>
      <c r="S102" s="39" t="s">
        <v>123</v>
      </c>
      <c r="T102" s="49" t="s">
        <v>127</v>
      </c>
      <c r="U102" s="42" t="s">
        <v>127</v>
      </c>
      <c r="V102" s="42" t="s">
        <v>127</v>
      </c>
      <c r="W102" s="42" t="s">
        <v>127</v>
      </c>
      <c r="X102" s="36">
        <f t="shared" si="3"/>
        <v>4</v>
      </c>
      <c r="Y102" s="162" t="s">
        <v>29</v>
      </c>
      <c r="Z102" s="163" t="s">
        <v>127</v>
      </c>
      <c r="AA102" s="173">
        <v>0</v>
      </c>
      <c r="AB102" s="165">
        <f t="shared" si="4"/>
        <v>0</v>
      </c>
      <c r="AC102" s="166">
        <f t="shared" si="5"/>
        <v>0</v>
      </c>
    </row>
    <row r="103" spans="1:29" ht="15.75" thickBot="1" x14ac:dyDescent="0.3">
      <c r="A103" s="4" t="s">
        <v>35</v>
      </c>
      <c r="B103" s="57">
        <f>TRUNC(C103*AC103*(1-AA103)*IF(N103="Oui",1,0))</f>
        <v>0</v>
      </c>
      <c r="C103" s="71">
        <v>4</v>
      </c>
      <c r="D103" s="70">
        <f>TRUNC(E103*AC103*(1-AA103)*IF(O103="Oui",1,0))</f>
        <v>0</v>
      </c>
      <c r="E103" s="71">
        <v>16</v>
      </c>
      <c r="F103" s="70" t="s">
        <v>123</v>
      </c>
      <c r="G103" s="64" t="s">
        <v>123</v>
      </c>
      <c r="H103" s="70">
        <f t="shared" si="14"/>
        <v>0</v>
      </c>
      <c r="I103" s="71">
        <v>12</v>
      </c>
      <c r="J103" s="70">
        <f t="shared" si="15"/>
        <v>0</v>
      </c>
      <c r="K103" s="71">
        <v>8</v>
      </c>
      <c r="L103" s="70" t="s">
        <v>123</v>
      </c>
      <c r="M103" s="58" t="s">
        <v>123</v>
      </c>
      <c r="N103" s="43" t="s">
        <v>127</v>
      </c>
      <c r="O103" s="45" t="s">
        <v>127</v>
      </c>
      <c r="P103" s="44" t="s">
        <v>123</v>
      </c>
      <c r="Q103" s="45" t="s">
        <v>127</v>
      </c>
      <c r="R103" s="45" t="s">
        <v>127</v>
      </c>
      <c r="S103" s="44" t="s">
        <v>123</v>
      </c>
      <c r="T103" s="49" t="s">
        <v>184</v>
      </c>
      <c r="U103" s="42" t="s">
        <v>246</v>
      </c>
      <c r="V103" s="42" t="s">
        <v>127</v>
      </c>
      <c r="W103" s="42" t="s">
        <v>127</v>
      </c>
      <c r="X103" s="36">
        <f t="shared" si="3"/>
        <v>4</v>
      </c>
      <c r="Y103" s="167" t="s">
        <v>29</v>
      </c>
      <c r="Z103" s="168" t="s">
        <v>127</v>
      </c>
      <c r="AA103" s="174">
        <v>0</v>
      </c>
      <c r="AB103" s="170">
        <f t="shared" si="4"/>
        <v>0</v>
      </c>
      <c r="AC103" s="171">
        <f t="shared" si="5"/>
        <v>0</v>
      </c>
    </row>
    <row r="104" spans="1:29" ht="15.75" thickBot="1" x14ac:dyDescent="0.3">
      <c r="A104" s="31" t="s">
        <v>36</v>
      </c>
      <c r="B104" s="250" t="str">
        <f>B$68</f>
        <v>Nourriture</v>
      </c>
      <c r="C104" s="251"/>
      <c r="D104" s="217" t="str">
        <f>D$68</f>
        <v>Bois</v>
      </c>
      <c r="E104" s="218"/>
      <c r="F104" s="217" t="str">
        <f>F$68</f>
        <v>Fer</v>
      </c>
      <c r="G104" s="218"/>
      <c r="H104" s="217" t="str">
        <f>H$68</f>
        <v>Cuir</v>
      </c>
      <c r="I104" s="218"/>
      <c r="J104" s="217" t="str">
        <f>J$68</f>
        <v>Pierre</v>
      </c>
      <c r="K104" s="218"/>
      <c r="L104" s="217" t="str">
        <f>L$68</f>
        <v>Gemmes</v>
      </c>
      <c r="M104" s="223"/>
      <c r="N104" s="94" t="s">
        <v>108</v>
      </c>
      <c r="O104" s="92" t="s">
        <v>109</v>
      </c>
      <c r="P104" s="92" t="s">
        <v>110</v>
      </c>
      <c r="Q104" s="92" t="s">
        <v>171</v>
      </c>
      <c r="R104" s="92" t="s">
        <v>172</v>
      </c>
      <c r="S104" s="104" t="s">
        <v>116</v>
      </c>
      <c r="T104" s="6" t="str">
        <f t="shared" ref="T104:W104" si="16">T$68</f>
        <v>Comptoir</v>
      </c>
      <c r="U104" s="6" t="str">
        <f t="shared" si="16"/>
        <v>Marché</v>
      </c>
      <c r="V104" s="6" t="str">
        <f t="shared" si="16"/>
        <v>Banque</v>
      </c>
      <c r="W104" s="6" t="str">
        <f t="shared" si="16"/>
        <v>Palais</v>
      </c>
      <c r="X104" s="26"/>
      <c r="Y104" s="3"/>
      <c r="Z104" s="3"/>
      <c r="AA104" s="3"/>
      <c r="AB104" s="90"/>
      <c r="AC104" s="51"/>
    </row>
    <row r="105" spans="1:29" x14ac:dyDescent="0.25">
      <c r="A105" s="4" t="s">
        <v>186</v>
      </c>
      <c r="B105" s="57">
        <f>TRUNC(C105*AC105*(1-AA105)*IF(N105="Oui",1,0))</f>
        <v>0</v>
      </c>
      <c r="C105" s="63">
        <v>8</v>
      </c>
      <c r="D105" s="68">
        <f t="shared" ref="D105:D112" si="17">TRUNC(E105*AC105*(1-AA105)*IF(O105="Oui",1,0))</f>
        <v>0</v>
      </c>
      <c r="E105" s="69">
        <v>12</v>
      </c>
      <c r="F105" s="70">
        <f>TRUNC(G105*AC105*(1-AA105)*IF(P105="Oui",1,0))</f>
        <v>0</v>
      </c>
      <c r="G105" s="71">
        <v>4</v>
      </c>
      <c r="H105" s="70" t="s">
        <v>123</v>
      </c>
      <c r="I105" s="64" t="s">
        <v>123</v>
      </c>
      <c r="J105" s="70" t="s">
        <v>123</v>
      </c>
      <c r="K105" s="64" t="s">
        <v>123</v>
      </c>
      <c r="L105" s="70">
        <f t="shared" ref="L105:L112" si="18">TRUNC(M105*AC105*(1-AA105)*IF(S105="Oui",1,0))</f>
        <v>0</v>
      </c>
      <c r="M105" s="56">
        <v>16</v>
      </c>
      <c r="N105" s="38" t="s">
        <v>127</v>
      </c>
      <c r="O105" s="40" t="s">
        <v>127</v>
      </c>
      <c r="P105" s="40" t="s">
        <v>127</v>
      </c>
      <c r="Q105" s="39" t="s">
        <v>123</v>
      </c>
      <c r="R105" s="39" t="s">
        <v>123</v>
      </c>
      <c r="S105" s="40" t="s">
        <v>184</v>
      </c>
      <c r="T105" s="48" t="s">
        <v>127</v>
      </c>
      <c r="U105" s="40" t="s">
        <v>127</v>
      </c>
      <c r="V105" s="40" t="s">
        <v>246</v>
      </c>
      <c r="W105" s="40" t="s">
        <v>184</v>
      </c>
      <c r="X105" s="36">
        <f t="shared" si="3"/>
        <v>7</v>
      </c>
      <c r="Y105" s="157" t="s">
        <v>36</v>
      </c>
      <c r="Z105" s="158" t="s">
        <v>127</v>
      </c>
      <c r="AA105" s="172">
        <v>0</v>
      </c>
      <c r="AB105" s="160">
        <f t="shared" si="4"/>
        <v>0</v>
      </c>
      <c r="AC105" s="161">
        <f t="shared" si="5"/>
        <v>0</v>
      </c>
    </row>
    <row r="106" spans="1:29" x14ac:dyDescent="0.25">
      <c r="A106" s="4" t="s">
        <v>37</v>
      </c>
      <c r="B106" s="57">
        <f>TRUNC(C106*AC106*(1-AA106)*IF(N106="Oui",1,0))</f>
        <v>0</v>
      </c>
      <c r="C106" s="64">
        <v>4</v>
      </c>
      <c r="D106" s="70">
        <f t="shared" si="17"/>
        <v>0</v>
      </c>
      <c r="E106" s="71">
        <v>12</v>
      </c>
      <c r="F106" s="70" t="s">
        <v>123</v>
      </c>
      <c r="G106" s="64" t="s">
        <v>123</v>
      </c>
      <c r="H106" s="70" t="s">
        <v>123</v>
      </c>
      <c r="I106" s="64" t="s">
        <v>123</v>
      </c>
      <c r="J106" s="70">
        <f t="shared" ref="J106:J112" si="19">TRUNC(K106*AC106*(1-AA106)*IF(R106="Oui",1,0))</f>
        <v>0</v>
      </c>
      <c r="K106" s="71">
        <v>8</v>
      </c>
      <c r="L106" s="70">
        <f t="shared" si="18"/>
        <v>0</v>
      </c>
      <c r="M106" s="58">
        <v>16</v>
      </c>
      <c r="N106" s="41" t="s">
        <v>127</v>
      </c>
      <c r="O106" s="42" t="s">
        <v>127</v>
      </c>
      <c r="P106" s="39" t="s">
        <v>123</v>
      </c>
      <c r="Q106" s="39" t="s">
        <v>123</v>
      </c>
      <c r="R106" s="42" t="s">
        <v>127</v>
      </c>
      <c r="S106" s="42" t="s">
        <v>127</v>
      </c>
      <c r="T106" s="49" t="s">
        <v>127</v>
      </c>
      <c r="U106" s="42" t="s">
        <v>127</v>
      </c>
      <c r="V106" s="42" t="s">
        <v>127</v>
      </c>
      <c r="W106" s="42" t="s">
        <v>127</v>
      </c>
      <c r="X106" s="36">
        <f t="shared" si="3"/>
        <v>4</v>
      </c>
      <c r="Y106" s="162" t="s">
        <v>36</v>
      </c>
      <c r="Z106" s="163" t="s">
        <v>127</v>
      </c>
      <c r="AA106" s="173">
        <v>0</v>
      </c>
      <c r="AB106" s="165">
        <f t="shared" si="4"/>
        <v>0</v>
      </c>
      <c r="AC106" s="166">
        <f t="shared" si="5"/>
        <v>0</v>
      </c>
    </row>
    <row r="107" spans="1:29" x14ac:dyDescent="0.25">
      <c r="A107" s="4" t="s">
        <v>38</v>
      </c>
      <c r="B107" s="70" t="s">
        <v>123</v>
      </c>
      <c r="C107" s="64" t="s">
        <v>123</v>
      </c>
      <c r="D107" s="70">
        <f t="shared" si="17"/>
        <v>0</v>
      </c>
      <c r="E107" s="71">
        <v>16</v>
      </c>
      <c r="F107" s="70" t="s">
        <v>123</v>
      </c>
      <c r="G107" s="64" t="s">
        <v>123</v>
      </c>
      <c r="H107" s="70">
        <f>TRUNC(I107*AC107*(1-AA107)*IF(Q107="Oui",1,0))</f>
        <v>0</v>
      </c>
      <c r="I107" s="71">
        <v>4</v>
      </c>
      <c r="J107" s="70">
        <f t="shared" si="19"/>
        <v>0</v>
      </c>
      <c r="K107" s="71">
        <v>12</v>
      </c>
      <c r="L107" s="70">
        <f t="shared" si="18"/>
        <v>0</v>
      </c>
      <c r="M107" s="58">
        <v>8</v>
      </c>
      <c r="N107" s="39" t="s">
        <v>123</v>
      </c>
      <c r="O107" s="42" t="s">
        <v>127</v>
      </c>
      <c r="P107" s="39" t="s">
        <v>123</v>
      </c>
      <c r="Q107" s="42" t="s">
        <v>127</v>
      </c>
      <c r="R107" s="42" t="s">
        <v>127</v>
      </c>
      <c r="S107" s="42" t="s">
        <v>127</v>
      </c>
      <c r="T107" s="49" t="s">
        <v>127</v>
      </c>
      <c r="U107" s="42" t="s">
        <v>127</v>
      </c>
      <c r="V107" s="42" t="s">
        <v>127</v>
      </c>
      <c r="W107" s="42" t="s">
        <v>127</v>
      </c>
      <c r="X107" s="36">
        <f t="shared" si="3"/>
        <v>4</v>
      </c>
      <c r="Y107" s="162" t="s">
        <v>36</v>
      </c>
      <c r="Z107" s="163" t="s">
        <v>127</v>
      </c>
      <c r="AA107" s="173">
        <v>0</v>
      </c>
      <c r="AB107" s="165">
        <f t="shared" si="4"/>
        <v>0</v>
      </c>
      <c r="AC107" s="166">
        <f t="shared" si="5"/>
        <v>0</v>
      </c>
    </row>
    <row r="108" spans="1:29" x14ac:dyDescent="0.25">
      <c r="A108" s="4" t="s">
        <v>39</v>
      </c>
      <c r="B108" s="57">
        <f>TRUNC(C108*AC108*(1-AA108)*IF(N108="Oui",1,0))</f>
        <v>0</v>
      </c>
      <c r="C108" s="64">
        <v>4</v>
      </c>
      <c r="D108" s="70">
        <f t="shared" si="17"/>
        <v>0</v>
      </c>
      <c r="E108" s="71">
        <v>8</v>
      </c>
      <c r="F108" s="70" t="s">
        <v>123</v>
      </c>
      <c r="G108" s="64" t="s">
        <v>123</v>
      </c>
      <c r="H108" s="70" t="s">
        <v>123</v>
      </c>
      <c r="I108" s="64" t="s">
        <v>123</v>
      </c>
      <c r="J108" s="70">
        <f t="shared" si="19"/>
        <v>0</v>
      </c>
      <c r="K108" s="71">
        <v>16</v>
      </c>
      <c r="L108" s="70">
        <f t="shared" si="18"/>
        <v>0</v>
      </c>
      <c r="M108" s="58">
        <v>12</v>
      </c>
      <c r="N108" s="41" t="s">
        <v>127</v>
      </c>
      <c r="O108" s="42" t="s">
        <v>127</v>
      </c>
      <c r="P108" s="39" t="s">
        <v>123</v>
      </c>
      <c r="Q108" s="39" t="s">
        <v>123</v>
      </c>
      <c r="R108" s="42" t="s">
        <v>127</v>
      </c>
      <c r="S108" s="42" t="s">
        <v>127</v>
      </c>
      <c r="T108" s="49" t="s">
        <v>127</v>
      </c>
      <c r="U108" s="42" t="s">
        <v>127</v>
      </c>
      <c r="V108" s="42" t="s">
        <v>246</v>
      </c>
      <c r="W108" s="42" t="s">
        <v>127</v>
      </c>
      <c r="X108" s="36">
        <f t="shared" si="3"/>
        <v>4</v>
      </c>
      <c r="Y108" s="162" t="s">
        <v>36</v>
      </c>
      <c r="Z108" s="163" t="s">
        <v>127</v>
      </c>
      <c r="AA108" s="173">
        <v>0</v>
      </c>
      <c r="AB108" s="165">
        <f t="shared" si="4"/>
        <v>0</v>
      </c>
      <c r="AC108" s="166">
        <f t="shared" si="5"/>
        <v>0</v>
      </c>
    </row>
    <row r="109" spans="1:29" x14ac:dyDescent="0.25">
      <c r="A109" s="4" t="s">
        <v>40</v>
      </c>
      <c r="B109" s="57">
        <f>TRUNC(C109*AC109*(1-AA109)*IF(N109="Oui",1,0))</f>
        <v>0</v>
      </c>
      <c r="C109" s="64">
        <v>12</v>
      </c>
      <c r="D109" s="70">
        <f t="shared" si="17"/>
        <v>0</v>
      </c>
      <c r="E109" s="71">
        <v>8</v>
      </c>
      <c r="F109" s="70" t="s">
        <v>123</v>
      </c>
      <c r="G109" s="64" t="s">
        <v>123</v>
      </c>
      <c r="H109" s="70" t="s">
        <v>123</v>
      </c>
      <c r="I109" s="64" t="s">
        <v>123</v>
      </c>
      <c r="J109" s="70">
        <f t="shared" si="19"/>
        <v>0</v>
      </c>
      <c r="K109" s="71">
        <v>4</v>
      </c>
      <c r="L109" s="70">
        <f t="shared" si="18"/>
        <v>0</v>
      </c>
      <c r="M109" s="58">
        <v>16</v>
      </c>
      <c r="N109" s="41" t="s">
        <v>184</v>
      </c>
      <c r="O109" s="42" t="s">
        <v>127</v>
      </c>
      <c r="P109" s="39" t="s">
        <v>123</v>
      </c>
      <c r="Q109" s="39" t="s">
        <v>123</v>
      </c>
      <c r="R109" s="42" t="s">
        <v>127</v>
      </c>
      <c r="S109" s="42" t="s">
        <v>127</v>
      </c>
      <c r="T109" s="49" t="s">
        <v>127</v>
      </c>
      <c r="U109" s="42" t="s">
        <v>127</v>
      </c>
      <c r="V109" s="42" t="s">
        <v>127</v>
      </c>
      <c r="W109" s="42" t="s">
        <v>127</v>
      </c>
      <c r="X109" s="36">
        <f t="shared" si="3"/>
        <v>4</v>
      </c>
      <c r="Y109" s="162" t="s">
        <v>43</v>
      </c>
      <c r="Z109" s="163" t="s">
        <v>127</v>
      </c>
      <c r="AA109" s="173">
        <v>0</v>
      </c>
      <c r="AB109" s="165">
        <f t="shared" si="4"/>
        <v>0</v>
      </c>
      <c r="AC109" s="166">
        <f t="shared" si="5"/>
        <v>0</v>
      </c>
    </row>
    <row r="110" spans="1:29" x14ac:dyDescent="0.25">
      <c r="A110" s="4" t="s">
        <v>41</v>
      </c>
      <c r="B110" s="70" t="s">
        <v>123</v>
      </c>
      <c r="C110" s="64" t="s">
        <v>123</v>
      </c>
      <c r="D110" s="70">
        <f t="shared" si="17"/>
        <v>0</v>
      </c>
      <c r="E110" s="71">
        <v>16</v>
      </c>
      <c r="F110" s="70">
        <f>TRUNC(G110*AC110*(1-AA110)*IF(P110="Oui",1,0))</f>
        <v>0</v>
      </c>
      <c r="G110" s="71">
        <v>12</v>
      </c>
      <c r="H110" s="70" t="s">
        <v>123</v>
      </c>
      <c r="I110" s="64" t="s">
        <v>123</v>
      </c>
      <c r="J110" s="70">
        <f t="shared" si="19"/>
        <v>0</v>
      </c>
      <c r="K110" s="71">
        <v>8</v>
      </c>
      <c r="L110" s="70">
        <f t="shared" si="18"/>
        <v>0</v>
      </c>
      <c r="M110" s="58">
        <v>4</v>
      </c>
      <c r="N110" s="39" t="s">
        <v>123</v>
      </c>
      <c r="O110" s="42" t="s">
        <v>127</v>
      </c>
      <c r="P110" s="42" t="s">
        <v>127</v>
      </c>
      <c r="Q110" s="39" t="s">
        <v>123</v>
      </c>
      <c r="R110" s="42" t="s">
        <v>127</v>
      </c>
      <c r="S110" s="42" t="s">
        <v>127</v>
      </c>
      <c r="T110" s="49" t="s">
        <v>127</v>
      </c>
      <c r="U110" s="42" t="s">
        <v>127</v>
      </c>
      <c r="V110" s="42" t="s">
        <v>127</v>
      </c>
      <c r="W110" s="42" t="s">
        <v>127</v>
      </c>
      <c r="X110" s="36">
        <f t="shared" si="3"/>
        <v>4</v>
      </c>
      <c r="Y110" s="162" t="s">
        <v>36</v>
      </c>
      <c r="Z110" s="163" t="s">
        <v>127</v>
      </c>
      <c r="AA110" s="173">
        <v>0</v>
      </c>
      <c r="AB110" s="165">
        <f t="shared" si="4"/>
        <v>0</v>
      </c>
      <c r="AC110" s="166">
        <f t="shared" si="5"/>
        <v>0</v>
      </c>
    </row>
    <row r="111" spans="1:29" x14ac:dyDescent="0.25">
      <c r="A111" s="4" t="s">
        <v>42</v>
      </c>
      <c r="B111" s="57">
        <f>TRUNC(C111*AC111*(1-AA111)*IF(N111="Oui",1,0))</f>
        <v>0</v>
      </c>
      <c r="C111" s="64">
        <v>8</v>
      </c>
      <c r="D111" s="70">
        <f t="shared" si="17"/>
        <v>0</v>
      </c>
      <c r="E111" s="71">
        <v>12</v>
      </c>
      <c r="F111" s="70" t="s">
        <v>123</v>
      </c>
      <c r="G111" s="64" t="s">
        <v>123</v>
      </c>
      <c r="H111" s="70" t="s">
        <v>123</v>
      </c>
      <c r="I111" s="64" t="s">
        <v>123</v>
      </c>
      <c r="J111" s="70">
        <f t="shared" si="19"/>
        <v>0</v>
      </c>
      <c r="K111" s="71">
        <v>4</v>
      </c>
      <c r="L111" s="70">
        <f t="shared" si="18"/>
        <v>0</v>
      </c>
      <c r="M111" s="58">
        <v>16</v>
      </c>
      <c r="N111" s="41" t="s">
        <v>127</v>
      </c>
      <c r="O111" s="42" t="s">
        <v>127</v>
      </c>
      <c r="P111" s="39" t="s">
        <v>123</v>
      </c>
      <c r="Q111" s="39" t="s">
        <v>123</v>
      </c>
      <c r="R111" s="42" t="s">
        <v>127</v>
      </c>
      <c r="S111" s="42" t="s">
        <v>127</v>
      </c>
      <c r="T111" s="49" t="s">
        <v>127</v>
      </c>
      <c r="U111" s="42" t="s">
        <v>127</v>
      </c>
      <c r="V111" s="42" t="s">
        <v>127</v>
      </c>
      <c r="W111" s="42" t="s">
        <v>127</v>
      </c>
      <c r="X111" s="36">
        <f t="shared" si="3"/>
        <v>4</v>
      </c>
      <c r="Y111" s="162" t="s">
        <v>36</v>
      </c>
      <c r="Z111" s="163" t="s">
        <v>127</v>
      </c>
      <c r="AA111" s="173">
        <v>0</v>
      </c>
      <c r="AB111" s="165">
        <f t="shared" si="4"/>
        <v>0</v>
      </c>
      <c r="AC111" s="166">
        <f t="shared" si="5"/>
        <v>0</v>
      </c>
    </row>
    <row r="112" spans="1:29" ht="15.75" thickBot="1" x14ac:dyDescent="0.3">
      <c r="A112" s="4" t="s">
        <v>83</v>
      </c>
      <c r="B112" s="70" t="s">
        <v>123</v>
      </c>
      <c r="C112" s="64" t="s">
        <v>123</v>
      </c>
      <c r="D112" s="70">
        <f t="shared" si="17"/>
        <v>0</v>
      </c>
      <c r="E112" s="71">
        <v>16</v>
      </c>
      <c r="F112" s="70">
        <f>TRUNC(G112*AC112*(1-AA112)*IF(P112="Oui",1,0))</f>
        <v>0</v>
      </c>
      <c r="G112" s="71">
        <v>8</v>
      </c>
      <c r="H112" s="70" t="s">
        <v>123</v>
      </c>
      <c r="I112" s="64" t="s">
        <v>123</v>
      </c>
      <c r="J112" s="70">
        <f t="shared" si="19"/>
        <v>0</v>
      </c>
      <c r="K112" s="71">
        <v>4</v>
      </c>
      <c r="L112" s="70">
        <f t="shared" si="18"/>
        <v>0</v>
      </c>
      <c r="M112" s="58">
        <v>12</v>
      </c>
      <c r="N112" s="44" t="s">
        <v>123</v>
      </c>
      <c r="O112" s="45" t="s">
        <v>127</v>
      </c>
      <c r="P112" s="45" t="s">
        <v>127</v>
      </c>
      <c r="Q112" s="44" t="s">
        <v>123</v>
      </c>
      <c r="R112" s="45" t="s">
        <v>127</v>
      </c>
      <c r="S112" s="45" t="s">
        <v>127</v>
      </c>
      <c r="T112" s="49" t="s">
        <v>127</v>
      </c>
      <c r="U112" s="42" t="s">
        <v>127</v>
      </c>
      <c r="V112" s="42" t="s">
        <v>127</v>
      </c>
      <c r="W112" s="42" t="s">
        <v>127</v>
      </c>
      <c r="X112" s="36">
        <f t="shared" si="3"/>
        <v>4</v>
      </c>
      <c r="Y112" s="167" t="s">
        <v>19</v>
      </c>
      <c r="Z112" s="168" t="s">
        <v>127</v>
      </c>
      <c r="AA112" s="174">
        <v>0</v>
      </c>
      <c r="AB112" s="170">
        <f t="shared" si="4"/>
        <v>0</v>
      </c>
      <c r="AC112" s="171">
        <f t="shared" si="5"/>
        <v>0</v>
      </c>
    </row>
    <row r="113" spans="1:29" ht="15.75" thickBot="1" x14ac:dyDescent="0.3">
      <c r="A113" s="31" t="s">
        <v>43</v>
      </c>
      <c r="B113" s="250" t="str">
        <f>B$68</f>
        <v>Nourriture</v>
      </c>
      <c r="C113" s="251"/>
      <c r="D113" s="217" t="str">
        <f>D$68</f>
        <v>Bois</v>
      </c>
      <c r="E113" s="218"/>
      <c r="F113" s="217" t="str">
        <f>F$68</f>
        <v>Fer</v>
      </c>
      <c r="G113" s="218"/>
      <c r="H113" s="217" t="str">
        <f>H$68</f>
        <v>Cuir</v>
      </c>
      <c r="I113" s="218"/>
      <c r="J113" s="217" t="str">
        <f>J$68</f>
        <v>Pierre</v>
      </c>
      <c r="K113" s="218"/>
      <c r="L113" s="217" t="str">
        <f>L$68</f>
        <v>Gemmes</v>
      </c>
      <c r="M113" s="223"/>
      <c r="N113" s="94" t="s">
        <v>108</v>
      </c>
      <c r="O113" s="92" t="s">
        <v>109</v>
      </c>
      <c r="P113" s="92" t="s">
        <v>110</v>
      </c>
      <c r="Q113" s="92" t="s">
        <v>171</v>
      </c>
      <c r="R113" s="92" t="s">
        <v>172</v>
      </c>
      <c r="S113" s="104" t="s">
        <v>116</v>
      </c>
      <c r="T113" s="6" t="str">
        <f t="shared" ref="T113:W113" si="20">T$68</f>
        <v>Comptoir</v>
      </c>
      <c r="U113" s="6" t="str">
        <f t="shared" si="20"/>
        <v>Marché</v>
      </c>
      <c r="V113" s="6" t="str">
        <f t="shared" si="20"/>
        <v>Banque</v>
      </c>
      <c r="W113" s="6" t="str">
        <f t="shared" si="20"/>
        <v>Palais</v>
      </c>
      <c r="X113" s="26"/>
      <c r="Y113" s="3"/>
      <c r="Z113" s="3"/>
      <c r="AA113" s="3"/>
      <c r="AB113" s="90"/>
      <c r="AC113" s="51"/>
    </row>
    <row r="114" spans="1:29" x14ac:dyDescent="0.25">
      <c r="A114" s="4" t="s">
        <v>44</v>
      </c>
      <c r="B114" s="70" t="s">
        <v>123</v>
      </c>
      <c r="C114" s="64" t="s">
        <v>123</v>
      </c>
      <c r="D114" s="70" t="s">
        <v>123</v>
      </c>
      <c r="E114" s="64" t="s">
        <v>123</v>
      </c>
      <c r="F114" s="70">
        <f t="shared" ref="F114:F121" si="21">TRUNC(G114*AC114*(1-AA114)*IF(P114="Oui",1,0))</f>
        <v>0</v>
      </c>
      <c r="G114" s="69">
        <v>12</v>
      </c>
      <c r="H114" s="70">
        <f>TRUNC(I114*AC114*(1-AA114)*IF(Q114="Oui",1,0))</f>
        <v>0</v>
      </c>
      <c r="I114" s="69">
        <v>4</v>
      </c>
      <c r="J114" s="70">
        <f t="shared" ref="J114:J121" si="22">TRUNC(K114*AC114*(1-AA114)*IF(R114="Oui",1,0))</f>
        <v>0</v>
      </c>
      <c r="K114" s="69">
        <v>16</v>
      </c>
      <c r="L114" s="70">
        <f>TRUNC(M114*AC114*(1-AA114)*IF(S114="Oui",1,0))</f>
        <v>0</v>
      </c>
      <c r="M114" s="56">
        <v>8</v>
      </c>
      <c r="N114" s="39" t="s">
        <v>123</v>
      </c>
      <c r="O114" s="39" t="s">
        <v>123</v>
      </c>
      <c r="P114" s="40" t="s">
        <v>127</v>
      </c>
      <c r="Q114" s="40" t="s">
        <v>127</v>
      </c>
      <c r="R114" s="40" t="s">
        <v>184</v>
      </c>
      <c r="S114" s="40" t="s">
        <v>127</v>
      </c>
      <c r="T114" s="48" t="s">
        <v>184</v>
      </c>
      <c r="U114" s="40" t="s">
        <v>246</v>
      </c>
      <c r="V114" s="40" t="s">
        <v>246</v>
      </c>
      <c r="W114" s="40" t="s">
        <v>184</v>
      </c>
      <c r="X114" s="36">
        <f t="shared" si="3"/>
        <v>7</v>
      </c>
      <c r="Y114" s="157" t="s">
        <v>43</v>
      </c>
      <c r="Z114" s="158" t="s">
        <v>127</v>
      </c>
      <c r="AA114" s="172">
        <v>0</v>
      </c>
      <c r="AB114" s="160">
        <f t="shared" si="4"/>
        <v>0</v>
      </c>
      <c r="AC114" s="161">
        <f t="shared" si="5"/>
        <v>0</v>
      </c>
    </row>
    <row r="115" spans="1:29" x14ac:dyDescent="0.25">
      <c r="A115" s="4" t="s">
        <v>45</v>
      </c>
      <c r="B115" s="57">
        <f>TRUNC(C115*AC115*(1-AA115)*IF(N115="Oui",1,0))</f>
        <v>0</v>
      </c>
      <c r="C115" s="71">
        <v>4</v>
      </c>
      <c r="D115" s="70" t="s">
        <v>123</v>
      </c>
      <c r="E115" s="64" t="s">
        <v>123</v>
      </c>
      <c r="F115" s="70">
        <f t="shared" si="21"/>
        <v>0</v>
      </c>
      <c r="G115" s="71">
        <v>16</v>
      </c>
      <c r="H115" s="70">
        <f>TRUNC(I115*AC115*(1-AA115)*IF(Q115="Oui",1,0))</f>
        <v>0</v>
      </c>
      <c r="I115" s="71">
        <v>8</v>
      </c>
      <c r="J115" s="70">
        <f t="shared" si="22"/>
        <v>0</v>
      </c>
      <c r="K115" s="71">
        <v>12</v>
      </c>
      <c r="L115" s="70" t="s">
        <v>123</v>
      </c>
      <c r="M115" s="58" t="s">
        <v>123</v>
      </c>
      <c r="N115" s="41" t="s">
        <v>127</v>
      </c>
      <c r="O115" s="39" t="s">
        <v>123</v>
      </c>
      <c r="P115" s="42" t="s">
        <v>127</v>
      </c>
      <c r="Q115" s="42" t="s">
        <v>127</v>
      </c>
      <c r="R115" s="42" t="s">
        <v>127</v>
      </c>
      <c r="S115" s="39" t="s">
        <v>123</v>
      </c>
      <c r="T115" s="49" t="s">
        <v>127</v>
      </c>
      <c r="U115" s="42" t="s">
        <v>127</v>
      </c>
      <c r="V115" s="42" t="s">
        <v>127</v>
      </c>
      <c r="W115" s="42" t="s">
        <v>127</v>
      </c>
      <c r="X115" s="36">
        <f t="shared" si="3"/>
        <v>4</v>
      </c>
      <c r="Y115" s="162" t="s">
        <v>43</v>
      </c>
      <c r="Z115" s="163" t="s">
        <v>127</v>
      </c>
      <c r="AA115" s="173">
        <v>0</v>
      </c>
      <c r="AB115" s="165">
        <f t="shared" si="4"/>
        <v>0</v>
      </c>
      <c r="AC115" s="166">
        <f t="shared" si="5"/>
        <v>0</v>
      </c>
    </row>
    <row r="116" spans="1:29" x14ac:dyDescent="0.25">
      <c r="A116" s="4" t="s">
        <v>46</v>
      </c>
      <c r="B116" s="57">
        <f>TRUNC(C116*AC116*(1-AA116)*IF(N116="Oui",1,0))</f>
        <v>0</v>
      </c>
      <c r="C116" s="71">
        <v>8</v>
      </c>
      <c r="D116" s="70" t="s">
        <v>123</v>
      </c>
      <c r="E116" s="64" t="s">
        <v>123</v>
      </c>
      <c r="F116" s="70">
        <f t="shared" si="21"/>
        <v>0</v>
      </c>
      <c r="G116" s="71">
        <v>16</v>
      </c>
      <c r="H116" s="70">
        <f>TRUNC(I116*AC116*(1-AA116)*IF(Q116="Oui",1,0))</f>
        <v>0</v>
      </c>
      <c r="I116" s="71">
        <v>4</v>
      </c>
      <c r="J116" s="70">
        <f t="shared" si="22"/>
        <v>0</v>
      </c>
      <c r="K116" s="71">
        <v>12</v>
      </c>
      <c r="L116" s="70" t="s">
        <v>123</v>
      </c>
      <c r="M116" s="58" t="s">
        <v>123</v>
      </c>
      <c r="N116" s="41" t="s">
        <v>127</v>
      </c>
      <c r="O116" s="39" t="s">
        <v>123</v>
      </c>
      <c r="P116" s="42" t="s">
        <v>184</v>
      </c>
      <c r="Q116" s="42" t="s">
        <v>127</v>
      </c>
      <c r="R116" s="42" t="s">
        <v>127</v>
      </c>
      <c r="S116" s="39" t="s">
        <v>123</v>
      </c>
      <c r="T116" s="49" t="s">
        <v>127</v>
      </c>
      <c r="U116" s="42" t="s">
        <v>127</v>
      </c>
      <c r="V116" s="42" t="s">
        <v>127</v>
      </c>
      <c r="W116" s="42" t="s">
        <v>127</v>
      </c>
      <c r="X116" s="36">
        <f t="shared" si="3"/>
        <v>4</v>
      </c>
      <c r="Y116" s="162" t="s">
        <v>43</v>
      </c>
      <c r="Z116" s="163" t="s">
        <v>127</v>
      </c>
      <c r="AA116" s="173">
        <v>0</v>
      </c>
      <c r="AB116" s="165">
        <f t="shared" si="4"/>
        <v>0</v>
      </c>
      <c r="AC116" s="166">
        <f t="shared" si="5"/>
        <v>0</v>
      </c>
    </row>
    <row r="117" spans="1:29" x14ac:dyDescent="0.25">
      <c r="A117" s="4" t="s">
        <v>47</v>
      </c>
      <c r="B117" s="57">
        <f>TRUNC(C117*AC117*(1-AA117)*IF(N117="Oui",1,0))</f>
        <v>0</v>
      </c>
      <c r="C117" s="71">
        <v>12</v>
      </c>
      <c r="D117" s="70" t="s">
        <v>123</v>
      </c>
      <c r="E117" s="64" t="s">
        <v>123</v>
      </c>
      <c r="F117" s="70">
        <f t="shared" si="21"/>
        <v>0</v>
      </c>
      <c r="G117" s="71">
        <v>8</v>
      </c>
      <c r="H117" s="70">
        <f>TRUNC(I117*AC117*(1-AA117)*IF(Q117="Oui",1,0))</f>
        <v>0</v>
      </c>
      <c r="I117" s="71">
        <v>16</v>
      </c>
      <c r="J117" s="70">
        <f t="shared" si="22"/>
        <v>0</v>
      </c>
      <c r="K117" s="71">
        <v>4</v>
      </c>
      <c r="L117" s="70" t="s">
        <v>123</v>
      </c>
      <c r="M117" s="58" t="s">
        <v>123</v>
      </c>
      <c r="N117" s="41" t="s">
        <v>184</v>
      </c>
      <c r="O117" s="39" t="s">
        <v>123</v>
      </c>
      <c r="P117" s="42" t="s">
        <v>127</v>
      </c>
      <c r="Q117" s="42" t="s">
        <v>127</v>
      </c>
      <c r="R117" s="42" t="s">
        <v>127</v>
      </c>
      <c r="S117" s="39" t="s">
        <v>123</v>
      </c>
      <c r="T117" s="49" t="s">
        <v>127</v>
      </c>
      <c r="U117" s="42" t="s">
        <v>127</v>
      </c>
      <c r="V117" s="42" t="s">
        <v>127</v>
      </c>
      <c r="W117" s="42" t="s">
        <v>127</v>
      </c>
      <c r="X117" s="36">
        <f t="shared" si="3"/>
        <v>4</v>
      </c>
      <c r="Y117" s="162" t="s">
        <v>43</v>
      </c>
      <c r="Z117" s="163" t="s">
        <v>127</v>
      </c>
      <c r="AA117" s="173">
        <v>0</v>
      </c>
      <c r="AB117" s="165">
        <f t="shared" si="4"/>
        <v>0</v>
      </c>
      <c r="AC117" s="166">
        <f t="shared" si="5"/>
        <v>0</v>
      </c>
    </row>
    <row r="118" spans="1:29" x14ac:dyDescent="0.25">
      <c r="A118" s="4" t="s">
        <v>48</v>
      </c>
      <c r="B118" s="57">
        <f>TRUNC(C118*AC118*(1-AA118)*IF(N118="Oui",1,0))</f>
        <v>0</v>
      </c>
      <c r="C118" s="71">
        <v>12</v>
      </c>
      <c r="D118" s="70">
        <f>TRUNC(E118*AC118*(1-AA118)*IF(O118="Oui",1,0))</f>
        <v>0</v>
      </c>
      <c r="E118" s="71">
        <v>4</v>
      </c>
      <c r="F118" s="70">
        <f t="shared" si="21"/>
        <v>0</v>
      </c>
      <c r="G118" s="71">
        <v>16</v>
      </c>
      <c r="H118" s="70" t="s">
        <v>123</v>
      </c>
      <c r="I118" s="64" t="s">
        <v>123</v>
      </c>
      <c r="J118" s="70">
        <f t="shared" si="22"/>
        <v>0</v>
      </c>
      <c r="K118" s="71">
        <v>8</v>
      </c>
      <c r="L118" s="70" t="s">
        <v>123</v>
      </c>
      <c r="M118" s="58" t="s">
        <v>123</v>
      </c>
      <c r="N118" s="41" t="s">
        <v>127</v>
      </c>
      <c r="O118" s="42" t="s">
        <v>127</v>
      </c>
      <c r="P118" s="42" t="s">
        <v>127</v>
      </c>
      <c r="Q118" s="39" t="s">
        <v>123</v>
      </c>
      <c r="R118" s="42" t="s">
        <v>127</v>
      </c>
      <c r="S118" s="39" t="s">
        <v>123</v>
      </c>
      <c r="T118" s="49" t="s">
        <v>127</v>
      </c>
      <c r="U118" s="42" t="s">
        <v>127</v>
      </c>
      <c r="V118" s="42" t="s">
        <v>127</v>
      </c>
      <c r="W118" s="42" t="s">
        <v>127</v>
      </c>
      <c r="X118" s="36">
        <f t="shared" si="3"/>
        <v>4</v>
      </c>
      <c r="Y118" s="162" t="s">
        <v>43</v>
      </c>
      <c r="Z118" s="163" t="s">
        <v>127</v>
      </c>
      <c r="AA118" s="173">
        <v>0</v>
      </c>
      <c r="AB118" s="165">
        <f t="shared" si="4"/>
        <v>0</v>
      </c>
      <c r="AC118" s="166">
        <f t="shared" si="5"/>
        <v>0</v>
      </c>
    </row>
    <row r="119" spans="1:29" x14ac:dyDescent="0.25">
      <c r="A119" s="4" t="s">
        <v>49</v>
      </c>
      <c r="B119" s="70" t="s">
        <v>123</v>
      </c>
      <c r="C119" s="64" t="s">
        <v>123</v>
      </c>
      <c r="D119" s="70">
        <f>TRUNC(E119*AC119*(1-AA119)*IF(O119="Oui",1,0))</f>
        <v>0</v>
      </c>
      <c r="E119" s="71">
        <v>8</v>
      </c>
      <c r="F119" s="70">
        <f t="shared" si="21"/>
        <v>0</v>
      </c>
      <c r="G119" s="71">
        <v>12</v>
      </c>
      <c r="H119" s="70">
        <f>TRUNC(I119*AC119*(1-AA119)*IF(Q119="Oui",1,0))</f>
        <v>0</v>
      </c>
      <c r="I119" s="71">
        <v>4</v>
      </c>
      <c r="J119" s="70">
        <f t="shared" si="22"/>
        <v>0</v>
      </c>
      <c r="K119" s="71">
        <v>16</v>
      </c>
      <c r="L119" s="70" t="s">
        <v>123</v>
      </c>
      <c r="M119" s="58" t="s">
        <v>123</v>
      </c>
      <c r="N119" s="39" t="s">
        <v>123</v>
      </c>
      <c r="O119" s="42" t="s">
        <v>127</v>
      </c>
      <c r="P119" s="42" t="s">
        <v>127</v>
      </c>
      <c r="Q119" s="42" t="s">
        <v>127</v>
      </c>
      <c r="R119" s="42" t="s">
        <v>184</v>
      </c>
      <c r="S119" s="39" t="s">
        <v>123</v>
      </c>
      <c r="T119" s="49" t="s">
        <v>127</v>
      </c>
      <c r="U119" s="42" t="s">
        <v>127</v>
      </c>
      <c r="V119" s="42" t="s">
        <v>127</v>
      </c>
      <c r="W119" s="42" t="s">
        <v>127</v>
      </c>
      <c r="X119" s="36">
        <f t="shared" si="3"/>
        <v>4</v>
      </c>
      <c r="Y119" s="162" t="s">
        <v>43</v>
      </c>
      <c r="Z119" s="163" t="s">
        <v>127</v>
      </c>
      <c r="AA119" s="173">
        <v>0</v>
      </c>
      <c r="AB119" s="165">
        <f t="shared" si="4"/>
        <v>0</v>
      </c>
      <c r="AC119" s="166">
        <f t="shared" si="5"/>
        <v>0</v>
      </c>
    </row>
    <row r="120" spans="1:29" x14ac:dyDescent="0.25">
      <c r="A120" s="4" t="s">
        <v>50</v>
      </c>
      <c r="B120" s="57">
        <f>TRUNC(C120*AC120*(1-AA120)*IF(N120="Oui",1,0))</f>
        <v>0</v>
      </c>
      <c r="C120" s="71">
        <v>4</v>
      </c>
      <c r="D120" s="70" t="s">
        <v>123</v>
      </c>
      <c r="E120" s="64" t="s">
        <v>123</v>
      </c>
      <c r="F120" s="70">
        <f t="shared" si="21"/>
        <v>0</v>
      </c>
      <c r="G120" s="71">
        <v>16</v>
      </c>
      <c r="H120" s="70">
        <f>TRUNC(I120*AC120*(1-AA120)*IF(Q120="Oui",1,0))</f>
        <v>0</v>
      </c>
      <c r="I120" s="71">
        <v>8</v>
      </c>
      <c r="J120" s="70">
        <f t="shared" si="22"/>
        <v>0</v>
      </c>
      <c r="K120" s="71">
        <v>12</v>
      </c>
      <c r="L120" s="70" t="s">
        <v>123</v>
      </c>
      <c r="M120" s="58" t="s">
        <v>123</v>
      </c>
      <c r="N120" s="41" t="s">
        <v>127</v>
      </c>
      <c r="O120" s="39" t="s">
        <v>123</v>
      </c>
      <c r="P120" s="42" t="s">
        <v>127</v>
      </c>
      <c r="Q120" s="42" t="s">
        <v>127</v>
      </c>
      <c r="R120" s="42" t="s">
        <v>127</v>
      </c>
      <c r="S120" s="39" t="s">
        <v>123</v>
      </c>
      <c r="T120" s="49" t="s">
        <v>127</v>
      </c>
      <c r="U120" s="42" t="s">
        <v>127</v>
      </c>
      <c r="V120" s="42" t="s">
        <v>127</v>
      </c>
      <c r="W120" s="42" t="s">
        <v>127</v>
      </c>
      <c r="X120" s="36">
        <f t="shared" si="3"/>
        <v>4</v>
      </c>
      <c r="Y120" s="162" t="s">
        <v>43</v>
      </c>
      <c r="Z120" s="163" t="s">
        <v>127</v>
      </c>
      <c r="AA120" s="173">
        <v>0</v>
      </c>
      <c r="AB120" s="165">
        <f t="shared" si="4"/>
        <v>0</v>
      </c>
      <c r="AC120" s="166">
        <f t="shared" si="5"/>
        <v>0</v>
      </c>
    </row>
    <row r="121" spans="1:29" ht="15.75" thickBot="1" x14ac:dyDescent="0.3">
      <c r="A121" s="4" t="s">
        <v>189</v>
      </c>
      <c r="B121" s="70" t="s">
        <v>123</v>
      </c>
      <c r="C121" s="64" t="s">
        <v>123</v>
      </c>
      <c r="D121" s="70">
        <f>TRUNC(E121*AC121*(1-AA121)*IF(O121="Oui",1,0))</f>
        <v>0</v>
      </c>
      <c r="E121" s="75">
        <v>8</v>
      </c>
      <c r="F121" s="70">
        <f t="shared" si="21"/>
        <v>0</v>
      </c>
      <c r="G121" s="71">
        <v>16</v>
      </c>
      <c r="H121" s="70">
        <f>TRUNC(I121*AC121*(1-AA121)*IF(Q121="Oui",1,0))</f>
        <v>0</v>
      </c>
      <c r="I121" s="71">
        <v>4</v>
      </c>
      <c r="J121" s="70">
        <f t="shared" si="22"/>
        <v>0</v>
      </c>
      <c r="K121" s="71">
        <v>12</v>
      </c>
      <c r="L121" s="70" t="s">
        <v>123</v>
      </c>
      <c r="M121" s="58" t="s">
        <v>123</v>
      </c>
      <c r="N121" s="39" t="s">
        <v>123</v>
      </c>
      <c r="O121" s="45" t="s">
        <v>184</v>
      </c>
      <c r="P121" s="45" t="s">
        <v>127</v>
      </c>
      <c r="Q121" s="45" t="s">
        <v>127</v>
      </c>
      <c r="R121" s="45" t="s">
        <v>127</v>
      </c>
      <c r="S121" s="44" t="s">
        <v>123</v>
      </c>
      <c r="T121" s="49" t="s">
        <v>127</v>
      </c>
      <c r="U121" s="42" t="s">
        <v>127</v>
      </c>
      <c r="V121" s="42" t="s">
        <v>127</v>
      </c>
      <c r="W121" s="42" t="s">
        <v>127</v>
      </c>
      <c r="X121" s="36">
        <f t="shared" si="3"/>
        <v>4</v>
      </c>
      <c r="Y121" s="167" t="s">
        <v>36</v>
      </c>
      <c r="Z121" s="168" t="s">
        <v>127</v>
      </c>
      <c r="AA121" s="174">
        <v>0</v>
      </c>
      <c r="AB121" s="170">
        <f t="shared" si="4"/>
        <v>0</v>
      </c>
      <c r="AC121" s="171">
        <f t="shared" si="5"/>
        <v>0</v>
      </c>
    </row>
    <row r="122" spans="1:29" ht="15.75" thickBot="1" x14ac:dyDescent="0.3">
      <c r="A122" s="31" t="s">
        <v>52</v>
      </c>
      <c r="B122" s="250" t="str">
        <f>B$68</f>
        <v>Nourriture</v>
      </c>
      <c r="C122" s="251"/>
      <c r="D122" s="217" t="str">
        <f>D$68</f>
        <v>Bois</v>
      </c>
      <c r="E122" s="218"/>
      <c r="F122" s="217" t="str">
        <f>F$68</f>
        <v>Fer</v>
      </c>
      <c r="G122" s="218"/>
      <c r="H122" s="217" t="str">
        <f>H$68</f>
        <v>Cuir</v>
      </c>
      <c r="I122" s="218"/>
      <c r="J122" s="217" t="str">
        <f>J$68</f>
        <v>Pierre</v>
      </c>
      <c r="K122" s="218"/>
      <c r="L122" s="217" t="str">
        <f>L$68</f>
        <v>Gemmes</v>
      </c>
      <c r="M122" s="223"/>
      <c r="N122" s="94" t="s">
        <v>108</v>
      </c>
      <c r="O122" s="92" t="s">
        <v>109</v>
      </c>
      <c r="P122" s="92" t="s">
        <v>110</v>
      </c>
      <c r="Q122" s="92" t="s">
        <v>171</v>
      </c>
      <c r="R122" s="92" t="s">
        <v>172</v>
      </c>
      <c r="S122" s="104" t="s">
        <v>116</v>
      </c>
      <c r="T122" s="6" t="str">
        <f t="shared" ref="T122:W122" si="23">T$68</f>
        <v>Comptoir</v>
      </c>
      <c r="U122" s="6" t="str">
        <f t="shared" si="23"/>
        <v>Marché</v>
      </c>
      <c r="V122" s="6" t="str">
        <f t="shared" si="23"/>
        <v>Banque</v>
      </c>
      <c r="W122" s="6" t="str">
        <f t="shared" si="23"/>
        <v>Palais</v>
      </c>
      <c r="X122" s="26"/>
      <c r="Y122" s="3"/>
      <c r="Z122" s="3"/>
      <c r="AA122" s="3"/>
      <c r="AB122" s="90"/>
      <c r="AC122" s="51"/>
    </row>
    <row r="123" spans="1:29" x14ac:dyDescent="0.25">
      <c r="A123" s="4" t="s">
        <v>53</v>
      </c>
      <c r="B123" s="57">
        <f t="shared" ref="B123:B130" si="24">TRUNC(C123*AC123*(1-AA123)*IF(N123="Oui",1,0))</f>
        <v>0</v>
      </c>
      <c r="C123" s="69">
        <v>4</v>
      </c>
      <c r="D123" s="68">
        <f>TRUNC(E123*AC123*(1-AA123)*IF(O123="Oui",1,0))</f>
        <v>0</v>
      </c>
      <c r="E123" s="69">
        <v>8</v>
      </c>
      <c r="F123" s="70" t="s">
        <v>123</v>
      </c>
      <c r="G123" s="64" t="s">
        <v>123</v>
      </c>
      <c r="H123" s="70">
        <f t="shared" ref="H123:H130" si="25">TRUNC(I123*AC123*(1-AA123)*IF(Q123="Oui",1,0))</f>
        <v>0</v>
      </c>
      <c r="I123" s="69">
        <v>16</v>
      </c>
      <c r="J123" s="70" t="s">
        <v>123</v>
      </c>
      <c r="K123" s="64" t="s">
        <v>123</v>
      </c>
      <c r="L123" s="70">
        <f>TRUNC(M123*AC123*(1-AA123)*IF(S123="Oui",1,0))</f>
        <v>0</v>
      </c>
      <c r="M123" s="58">
        <v>12</v>
      </c>
      <c r="N123" s="38" t="s">
        <v>127</v>
      </c>
      <c r="O123" s="40" t="s">
        <v>127</v>
      </c>
      <c r="P123" s="39" t="s">
        <v>123</v>
      </c>
      <c r="Q123" s="40" t="s">
        <v>184</v>
      </c>
      <c r="R123" s="39" t="s">
        <v>123</v>
      </c>
      <c r="S123" s="40" t="s">
        <v>246</v>
      </c>
      <c r="T123" s="48" t="s">
        <v>184</v>
      </c>
      <c r="U123" s="40" t="s">
        <v>246</v>
      </c>
      <c r="V123" s="40" t="s">
        <v>127</v>
      </c>
      <c r="W123" s="40" t="s">
        <v>184</v>
      </c>
      <c r="X123" s="36">
        <f t="shared" si="3"/>
        <v>7</v>
      </c>
      <c r="Y123" s="157" t="s">
        <v>52</v>
      </c>
      <c r="Z123" s="158" t="s">
        <v>127</v>
      </c>
      <c r="AA123" s="172">
        <v>0</v>
      </c>
      <c r="AB123" s="160">
        <f t="shared" si="4"/>
        <v>0</v>
      </c>
      <c r="AC123" s="161">
        <f t="shared" si="5"/>
        <v>0</v>
      </c>
    </row>
    <row r="124" spans="1:29" x14ac:dyDescent="0.25">
      <c r="A124" s="4" t="s">
        <v>54</v>
      </c>
      <c r="B124" s="57">
        <f t="shared" si="24"/>
        <v>0</v>
      </c>
      <c r="C124" s="71">
        <v>4</v>
      </c>
      <c r="D124" s="70">
        <f>TRUNC(E124*AC124*(1-AA124)*IF(O124="Oui",1,0))</f>
        <v>0</v>
      </c>
      <c r="E124" s="71">
        <v>16</v>
      </c>
      <c r="F124" s="70" t="s">
        <v>123</v>
      </c>
      <c r="G124" s="64" t="s">
        <v>123</v>
      </c>
      <c r="H124" s="70">
        <f t="shared" si="25"/>
        <v>0</v>
      </c>
      <c r="I124" s="71">
        <v>8</v>
      </c>
      <c r="J124" s="70" t="s">
        <v>123</v>
      </c>
      <c r="K124" s="64" t="s">
        <v>123</v>
      </c>
      <c r="L124" s="70">
        <f>TRUNC(M124*AC124*(1-AA124)*IF(S124="Oui",1,0))</f>
        <v>0</v>
      </c>
      <c r="M124" s="58">
        <v>12</v>
      </c>
      <c r="N124" s="41" t="s">
        <v>127</v>
      </c>
      <c r="O124" s="42" t="s">
        <v>184</v>
      </c>
      <c r="P124" s="39" t="s">
        <v>123</v>
      </c>
      <c r="Q124" s="42" t="s">
        <v>127</v>
      </c>
      <c r="R124" s="39" t="s">
        <v>123</v>
      </c>
      <c r="S124" s="42" t="s">
        <v>127</v>
      </c>
      <c r="T124" s="49" t="s">
        <v>184</v>
      </c>
      <c r="U124" s="42" t="s">
        <v>127</v>
      </c>
      <c r="V124" s="42" t="s">
        <v>127</v>
      </c>
      <c r="W124" s="42" t="s">
        <v>127</v>
      </c>
      <c r="X124" s="36">
        <f t="shared" si="3"/>
        <v>4</v>
      </c>
      <c r="Y124" s="162" t="s">
        <v>52</v>
      </c>
      <c r="Z124" s="163" t="s">
        <v>127</v>
      </c>
      <c r="AA124" s="173">
        <v>0</v>
      </c>
      <c r="AB124" s="165">
        <f t="shared" si="4"/>
        <v>0</v>
      </c>
      <c r="AC124" s="166">
        <f t="shared" si="5"/>
        <v>0</v>
      </c>
    </row>
    <row r="125" spans="1:29" x14ac:dyDescent="0.25">
      <c r="A125" s="4" t="s">
        <v>55</v>
      </c>
      <c r="B125" s="57">
        <f t="shared" si="24"/>
        <v>0</v>
      </c>
      <c r="C125" s="71">
        <v>16</v>
      </c>
      <c r="D125" s="70">
        <f>TRUNC(E125*AC125*(1-AA125)*IF(O125="Oui",1,0))</f>
        <v>0</v>
      </c>
      <c r="E125" s="71">
        <v>12</v>
      </c>
      <c r="F125" s="70" t="s">
        <v>123</v>
      </c>
      <c r="G125" s="64" t="s">
        <v>123</v>
      </c>
      <c r="H125" s="70">
        <f t="shared" si="25"/>
        <v>0</v>
      </c>
      <c r="I125" s="71">
        <v>8</v>
      </c>
      <c r="J125" s="70" t="s">
        <v>123</v>
      </c>
      <c r="K125" s="64" t="s">
        <v>123</v>
      </c>
      <c r="L125" s="70">
        <f>TRUNC(M125*AC125*(1-AA125)*IF(S125="Oui",1,0))</f>
        <v>0</v>
      </c>
      <c r="M125" s="58">
        <v>4</v>
      </c>
      <c r="N125" s="41" t="s">
        <v>184</v>
      </c>
      <c r="O125" s="42" t="s">
        <v>127</v>
      </c>
      <c r="P125" s="39" t="s">
        <v>123</v>
      </c>
      <c r="Q125" s="42" t="s">
        <v>127</v>
      </c>
      <c r="R125" s="39" t="s">
        <v>123</v>
      </c>
      <c r="S125" s="42" t="s">
        <v>127</v>
      </c>
      <c r="T125" s="49" t="s">
        <v>184</v>
      </c>
      <c r="U125" s="42" t="s">
        <v>127</v>
      </c>
      <c r="V125" s="42" t="s">
        <v>127</v>
      </c>
      <c r="W125" s="42" t="s">
        <v>127</v>
      </c>
      <c r="X125" s="36">
        <f t="shared" si="3"/>
        <v>4</v>
      </c>
      <c r="Y125" s="162" t="s">
        <v>52</v>
      </c>
      <c r="Z125" s="163" t="s">
        <v>127</v>
      </c>
      <c r="AA125" s="173">
        <v>0</v>
      </c>
      <c r="AB125" s="165">
        <f t="shared" si="4"/>
        <v>0</v>
      </c>
      <c r="AC125" s="166">
        <f t="shared" si="5"/>
        <v>0</v>
      </c>
    </row>
    <row r="126" spans="1:29" x14ac:dyDescent="0.25">
      <c r="A126" s="4" t="s">
        <v>56</v>
      </c>
      <c r="B126" s="57">
        <f t="shared" si="24"/>
        <v>0</v>
      </c>
      <c r="C126" s="71">
        <v>8</v>
      </c>
      <c r="D126" s="70">
        <f>TRUNC(E126*AC126*(1-AA126)*IF(O126="Oui",1,0))</f>
        <v>0</v>
      </c>
      <c r="E126" s="71">
        <v>12</v>
      </c>
      <c r="F126" s="70" t="s">
        <v>123</v>
      </c>
      <c r="G126" s="64" t="s">
        <v>123</v>
      </c>
      <c r="H126" s="70">
        <f t="shared" si="25"/>
        <v>0</v>
      </c>
      <c r="I126" s="71">
        <v>16</v>
      </c>
      <c r="J126" s="70">
        <f>TRUNC(K126*AC126*(1-AA126)*IF(R126="Oui",1,0))</f>
        <v>0</v>
      </c>
      <c r="K126" s="71">
        <v>4</v>
      </c>
      <c r="L126" s="70" t="s">
        <v>123</v>
      </c>
      <c r="M126" s="58" t="s">
        <v>123</v>
      </c>
      <c r="N126" s="41" t="s">
        <v>127</v>
      </c>
      <c r="O126" s="42" t="s">
        <v>184</v>
      </c>
      <c r="P126" s="39" t="s">
        <v>123</v>
      </c>
      <c r="Q126" s="42" t="s">
        <v>127</v>
      </c>
      <c r="R126" s="42" t="s">
        <v>127</v>
      </c>
      <c r="S126" s="39" t="s">
        <v>123</v>
      </c>
      <c r="T126" s="49" t="s">
        <v>184</v>
      </c>
      <c r="U126" s="42" t="s">
        <v>127</v>
      </c>
      <c r="V126" s="42" t="s">
        <v>127</v>
      </c>
      <c r="W126" s="42" t="s">
        <v>127</v>
      </c>
      <c r="X126" s="36">
        <f t="shared" si="3"/>
        <v>4</v>
      </c>
      <c r="Y126" s="162" t="s">
        <v>52</v>
      </c>
      <c r="Z126" s="163" t="s">
        <v>127</v>
      </c>
      <c r="AA126" s="173">
        <v>0</v>
      </c>
      <c r="AB126" s="165">
        <f t="shared" si="4"/>
        <v>0</v>
      </c>
      <c r="AC126" s="166">
        <f t="shared" si="5"/>
        <v>0</v>
      </c>
    </row>
    <row r="127" spans="1:29" x14ac:dyDescent="0.25">
      <c r="A127" s="4" t="s">
        <v>57</v>
      </c>
      <c r="B127" s="57">
        <f t="shared" si="24"/>
        <v>0</v>
      </c>
      <c r="C127" s="71">
        <v>16</v>
      </c>
      <c r="D127" s="70" t="s">
        <v>123</v>
      </c>
      <c r="E127" s="64" t="s">
        <v>123</v>
      </c>
      <c r="F127" s="70">
        <f>TRUNC(G127*AC127*(1-AA127)*IF(P127="Oui",1,0))</f>
        <v>0</v>
      </c>
      <c r="G127" s="71">
        <v>8</v>
      </c>
      <c r="H127" s="70">
        <f t="shared" si="25"/>
        <v>0</v>
      </c>
      <c r="I127" s="71">
        <v>12</v>
      </c>
      <c r="J127" s="70">
        <f>TRUNC(K127*AC127*(1-AA127)*IF(R127="Oui",1,0))</f>
        <v>0</v>
      </c>
      <c r="K127" s="71">
        <v>4</v>
      </c>
      <c r="L127" s="70" t="s">
        <v>123</v>
      </c>
      <c r="M127" s="58" t="s">
        <v>123</v>
      </c>
      <c r="N127" s="41" t="s">
        <v>184</v>
      </c>
      <c r="O127" s="39" t="s">
        <v>123</v>
      </c>
      <c r="P127" s="42" t="s">
        <v>127</v>
      </c>
      <c r="Q127" s="42" t="s">
        <v>127</v>
      </c>
      <c r="R127" s="42" t="s">
        <v>127</v>
      </c>
      <c r="S127" s="39" t="s">
        <v>123</v>
      </c>
      <c r="T127" s="49" t="s">
        <v>184</v>
      </c>
      <c r="U127" s="42" t="s">
        <v>127</v>
      </c>
      <c r="V127" s="42" t="s">
        <v>127</v>
      </c>
      <c r="W127" s="42" t="s">
        <v>127</v>
      </c>
      <c r="X127" s="36">
        <f t="shared" si="3"/>
        <v>4</v>
      </c>
      <c r="Y127" s="162" t="s">
        <v>52</v>
      </c>
      <c r="Z127" s="163" t="s">
        <v>127</v>
      </c>
      <c r="AA127" s="173">
        <v>0</v>
      </c>
      <c r="AB127" s="165">
        <f t="shared" si="4"/>
        <v>0</v>
      </c>
      <c r="AC127" s="166">
        <f t="shared" si="5"/>
        <v>0</v>
      </c>
    </row>
    <row r="128" spans="1:29" x14ac:dyDescent="0.25">
      <c r="A128" s="4" t="s">
        <v>58</v>
      </c>
      <c r="B128" s="57">
        <f t="shared" si="24"/>
        <v>0</v>
      </c>
      <c r="C128" s="71">
        <v>12</v>
      </c>
      <c r="D128" s="70" t="s">
        <v>123</v>
      </c>
      <c r="E128" s="64" t="s">
        <v>123</v>
      </c>
      <c r="F128" s="70" t="s">
        <v>123</v>
      </c>
      <c r="G128" s="64" t="s">
        <v>123</v>
      </c>
      <c r="H128" s="70">
        <f t="shared" si="25"/>
        <v>0</v>
      </c>
      <c r="I128" s="71">
        <v>16</v>
      </c>
      <c r="J128" s="70">
        <f>TRUNC(K128*AC128*(1-AA128)*IF(R128="Oui",1,0))</f>
        <v>0</v>
      </c>
      <c r="K128" s="71">
        <v>4</v>
      </c>
      <c r="L128" s="70">
        <f>TRUNC(M128*AC128*(1-AA128)*IF(S128="Oui",1,0))</f>
        <v>0</v>
      </c>
      <c r="M128" s="58">
        <v>8</v>
      </c>
      <c r="N128" s="41" t="s">
        <v>184</v>
      </c>
      <c r="O128" s="39" t="s">
        <v>123</v>
      </c>
      <c r="P128" s="39" t="s">
        <v>123</v>
      </c>
      <c r="Q128" s="42" t="s">
        <v>127</v>
      </c>
      <c r="R128" s="42" t="s">
        <v>127</v>
      </c>
      <c r="S128" s="42" t="s">
        <v>127</v>
      </c>
      <c r="T128" s="49" t="s">
        <v>184</v>
      </c>
      <c r="U128" s="42" t="s">
        <v>246</v>
      </c>
      <c r="V128" s="42" t="s">
        <v>127</v>
      </c>
      <c r="W128" s="42" t="s">
        <v>127</v>
      </c>
      <c r="X128" s="36">
        <f t="shared" si="3"/>
        <v>4</v>
      </c>
      <c r="Y128" s="162" t="s">
        <v>52</v>
      </c>
      <c r="Z128" s="163" t="s">
        <v>127</v>
      </c>
      <c r="AA128" s="173">
        <v>0</v>
      </c>
      <c r="AB128" s="165">
        <f t="shared" si="4"/>
        <v>0</v>
      </c>
      <c r="AC128" s="166">
        <f t="shared" si="5"/>
        <v>0</v>
      </c>
    </row>
    <row r="129" spans="1:29" x14ac:dyDescent="0.25">
      <c r="A129" s="4" t="s">
        <v>59</v>
      </c>
      <c r="B129" s="57">
        <f t="shared" si="24"/>
        <v>0</v>
      </c>
      <c r="C129" s="71">
        <v>12</v>
      </c>
      <c r="D129" s="70">
        <f>TRUNC(E129*AC129*(1-AA129)*IF(O129="Oui",1,0))</f>
        <v>0</v>
      </c>
      <c r="E129" s="71">
        <v>4</v>
      </c>
      <c r="F129" s="70" t="s">
        <v>123</v>
      </c>
      <c r="G129" s="64" t="s">
        <v>123</v>
      </c>
      <c r="H129" s="70">
        <f t="shared" si="25"/>
        <v>0</v>
      </c>
      <c r="I129" s="71">
        <v>16</v>
      </c>
      <c r="J129" s="70" t="s">
        <v>123</v>
      </c>
      <c r="K129" s="64" t="s">
        <v>123</v>
      </c>
      <c r="L129" s="70">
        <f>TRUNC(M129*AC129*(1-AA129)*IF(S129="Oui",1,0))</f>
        <v>0</v>
      </c>
      <c r="M129" s="58">
        <v>8</v>
      </c>
      <c r="N129" s="41" t="s">
        <v>127</v>
      </c>
      <c r="O129" s="42" t="s">
        <v>127</v>
      </c>
      <c r="P129" s="39" t="s">
        <v>123</v>
      </c>
      <c r="Q129" s="42" t="s">
        <v>246</v>
      </c>
      <c r="R129" s="39" t="s">
        <v>123</v>
      </c>
      <c r="S129" s="42" t="s">
        <v>127</v>
      </c>
      <c r="T129" s="49" t="s">
        <v>184</v>
      </c>
      <c r="U129" s="42" t="s">
        <v>127</v>
      </c>
      <c r="V129" s="42" t="s">
        <v>127</v>
      </c>
      <c r="W129" s="42" t="s">
        <v>127</v>
      </c>
      <c r="X129" s="36">
        <f t="shared" si="3"/>
        <v>4</v>
      </c>
      <c r="Y129" s="162" t="s">
        <v>52</v>
      </c>
      <c r="Z129" s="163" t="s">
        <v>127</v>
      </c>
      <c r="AA129" s="173">
        <v>0</v>
      </c>
      <c r="AB129" s="165">
        <f t="shared" si="4"/>
        <v>0</v>
      </c>
      <c r="AC129" s="166">
        <f t="shared" si="5"/>
        <v>0</v>
      </c>
    </row>
    <row r="130" spans="1:29" ht="15.75" thickBot="1" x14ac:dyDescent="0.3">
      <c r="A130" s="4" t="s">
        <v>60</v>
      </c>
      <c r="B130" s="57">
        <f t="shared" si="24"/>
        <v>0</v>
      </c>
      <c r="C130" s="71">
        <v>12</v>
      </c>
      <c r="D130" s="70">
        <f>TRUNC(E130*AC130*(1-AA130)*IF(O130="Oui",1,0))</f>
        <v>0</v>
      </c>
      <c r="E130" s="71">
        <v>8</v>
      </c>
      <c r="F130" s="70" t="s">
        <v>123</v>
      </c>
      <c r="G130" s="64" t="s">
        <v>123</v>
      </c>
      <c r="H130" s="70">
        <f t="shared" si="25"/>
        <v>0</v>
      </c>
      <c r="I130" s="71">
        <v>16</v>
      </c>
      <c r="J130" s="70" t="s">
        <v>123</v>
      </c>
      <c r="K130" s="64" t="s">
        <v>123</v>
      </c>
      <c r="L130" s="70">
        <f>TRUNC(M130*AC130*(1-AA130)*IF(S130="Oui",1,0))</f>
        <v>0</v>
      </c>
      <c r="M130" s="58">
        <v>4</v>
      </c>
      <c r="N130" s="103" t="s">
        <v>184</v>
      </c>
      <c r="O130" s="80" t="s">
        <v>127</v>
      </c>
      <c r="P130" s="39" t="s">
        <v>123</v>
      </c>
      <c r="Q130" s="80" t="s">
        <v>127</v>
      </c>
      <c r="R130" s="39" t="s">
        <v>123</v>
      </c>
      <c r="S130" s="80" t="s">
        <v>127</v>
      </c>
      <c r="T130" s="49" t="s">
        <v>184</v>
      </c>
      <c r="U130" s="42" t="s">
        <v>127</v>
      </c>
      <c r="V130" s="42" t="s">
        <v>127</v>
      </c>
      <c r="W130" s="42" t="s">
        <v>127</v>
      </c>
      <c r="X130" s="36">
        <f t="shared" si="3"/>
        <v>4</v>
      </c>
      <c r="Y130" s="167" t="s">
        <v>52</v>
      </c>
      <c r="Z130" s="168" t="s">
        <v>127</v>
      </c>
      <c r="AA130" s="174">
        <v>0</v>
      </c>
      <c r="AB130" s="170">
        <f t="shared" si="4"/>
        <v>0</v>
      </c>
      <c r="AC130" s="171">
        <f t="shared" si="5"/>
        <v>0</v>
      </c>
    </row>
    <row r="131" spans="1:29" ht="15.75" thickBot="1" x14ac:dyDescent="0.3">
      <c r="A131" s="31" t="s">
        <v>61</v>
      </c>
      <c r="B131" s="250" t="str">
        <f>B$68</f>
        <v>Nourriture</v>
      </c>
      <c r="C131" s="251"/>
      <c r="D131" s="217" t="str">
        <f>D$68</f>
        <v>Bois</v>
      </c>
      <c r="E131" s="218"/>
      <c r="F131" s="217" t="str">
        <f>F$68</f>
        <v>Fer</v>
      </c>
      <c r="G131" s="218"/>
      <c r="H131" s="217" t="str">
        <f>H$68</f>
        <v>Cuir</v>
      </c>
      <c r="I131" s="218"/>
      <c r="J131" s="217" t="str">
        <f>J$68</f>
        <v>Pierre</v>
      </c>
      <c r="K131" s="218"/>
      <c r="L131" s="217" t="str">
        <f>L$68</f>
        <v>Gemmes</v>
      </c>
      <c r="M131" s="223"/>
      <c r="N131" s="94" t="s">
        <v>108</v>
      </c>
      <c r="O131" s="92" t="s">
        <v>109</v>
      </c>
      <c r="P131" s="92" t="s">
        <v>110</v>
      </c>
      <c r="Q131" s="92" t="s">
        <v>171</v>
      </c>
      <c r="R131" s="92" t="s">
        <v>172</v>
      </c>
      <c r="S131" s="104" t="s">
        <v>116</v>
      </c>
      <c r="T131" s="6" t="str">
        <f t="shared" ref="T131:W131" si="26">T$68</f>
        <v>Comptoir</v>
      </c>
      <c r="U131" s="6" t="str">
        <f t="shared" si="26"/>
        <v>Marché</v>
      </c>
      <c r="V131" s="6" t="str">
        <f t="shared" si="26"/>
        <v>Banque</v>
      </c>
      <c r="W131" s="6" t="str">
        <f t="shared" si="26"/>
        <v>Palais</v>
      </c>
      <c r="X131" s="26"/>
      <c r="Y131" s="3"/>
      <c r="Z131" s="3"/>
      <c r="AA131" s="3"/>
      <c r="AB131" s="90"/>
      <c r="AC131" s="51"/>
    </row>
    <row r="132" spans="1:29" x14ac:dyDescent="0.25">
      <c r="A132" s="4" t="s">
        <v>62</v>
      </c>
      <c r="B132" s="57">
        <f>TRUNC(C132*AC132*(1-AA132)*IF(N132="Oui",1,0))</f>
        <v>0</v>
      </c>
      <c r="C132" s="63">
        <v>4</v>
      </c>
      <c r="D132" s="70" t="s">
        <v>123</v>
      </c>
      <c r="E132" s="64" t="s">
        <v>123</v>
      </c>
      <c r="F132" s="70">
        <f t="shared" ref="F132:F139" si="27">TRUNC(G132*AC132*(1-AA132)*IF(P132="Oui",1,0))</f>
        <v>0</v>
      </c>
      <c r="G132" s="69">
        <v>12</v>
      </c>
      <c r="H132" s="70" t="s">
        <v>123</v>
      </c>
      <c r="I132" s="64" t="s">
        <v>123</v>
      </c>
      <c r="J132" s="70">
        <f>TRUNC(K132*AC132*(1-AA132)*IF(R132="Oui",1,0))</f>
        <v>0</v>
      </c>
      <c r="K132" s="71">
        <v>8</v>
      </c>
      <c r="L132" s="70">
        <f t="shared" ref="L132:L138" si="28">TRUNC(M132*AC132*(1-AA132)*IF(S132="Oui",1,0))</f>
        <v>0</v>
      </c>
      <c r="M132" s="58">
        <v>16</v>
      </c>
      <c r="N132" s="38" t="s">
        <v>127</v>
      </c>
      <c r="O132" s="39" t="s">
        <v>123</v>
      </c>
      <c r="P132" s="40" t="s">
        <v>127</v>
      </c>
      <c r="Q132" s="39" t="s">
        <v>123</v>
      </c>
      <c r="R132" s="40" t="s">
        <v>127</v>
      </c>
      <c r="S132" s="40" t="s">
        <v>127</v>
      </c>
      <c r="T132" s="48" t="s">
        <v>127</v>
      </c>
      <c r="U132" s="40" t="s">
        <v>184</v>
      </c>
      <c r="V132" s="40" t="s">
        <v>127</v>
      </c>
      <c r="W132" s="40" t="s">
        <v>127</v>
      </c>
      <c r="X132" s="36">
        <f t="shared" si="3"/>
        <v>4</v>
      </c>
      <c r="Y132" s="157" t="s">
        <v>61</v>
      </c>
      <c r="Z132" s="158" t="s">
        <v>127</v>
      </c>
      <c r="AA132" s="172">
        <v>0</v>
      </c>
      <c r="AB132" s="160">
        <f t="shared" si="4"/>
        <v>0</v>
      </c>
      <c r="AC132" s="161">
        <f t="shared" si="5"/>
        <v>0</v>
      </c>
    </row>
    <row r="133" spans="1:29" x14ac:dyDescent="0.25">
      <c r="A133" s="4" t="s">
        <v>63</v>
      </c>
      <c r="B133" s="57">
        <f>TRUNC(C133*AC133*(1-AA133)*IF(N133="Oui",1,0))</f>
        <v>0</v>
      </c>
      <c r="C133" s="64">
        <v>8</v>
      </c>
      <c r="D133" s="70">
        <f>TRUNC(E133*AC133*(1-AA133)*IF(O133="Oui",1,0))</f>
        <v>0</v>
      </c>
      <c r="E133" s="71">
        <v>4</v>
      </c>
      <c r="F133" s="70">
        <f t="shared" si="27"/>
        <v>0</v>
      </c>
      <c r="G133" s="71">
        <v>16</v>
      </c>
      <c r="H133" s="70" t="s">
        <v>123</v>
      </c>
      <c r="I133" s="64" t="s">
        <v>123</v>
      </c>
      <c r="J133" s="70" t="s">
        <v>123</v>
      </c>
      <c r="K133" s="64" t="s">
        <v>123</v>
      </c>
      <c r="L133" s="70">
        <f t="shared" si="28"/>
        <v>0</v>
      </c>
      <c r="M133" s="58">
        <v>12</v>
      </c>
      <c r="N133" s="41" t="s">
        <v>127</v>
      </c>
      <c r="O133" s="42" t="s">
        <v>127</v>
      </c>
      <c r="P133" s="42" t="s">
        <v>127</v>
      </c>
      <c r="Q133" s="39" t="s">
        <v>123</v>
      </c>
      <c r="R133" s="39" t="s">
        <v>123</v>
      </c>
      <c r="S133" s="42" t="s">
        <v>127</v>
      </c>
      <c r="T133" s="49" t="s">
        <v>127</v>
      </c>
      <c r="U133" s="42" t="s">
        <v>127</v>
      </c>
      <c r="V133" s="42" t="s">
        <v>127</v>
      </c>
      <c r="W133" s="42" t="s">
        <v>127</v>
      </c>
      <c r="X133" s="36">
        <f t="shared" si="3"/>
        <v>4</v>
      </c>
      <c r="Y133" s="162" t="s">
        <v>61</v>
      </c>
      <c r="Z133" s="163" t="s">
        <v>127</v>
      </c>
      <c r="AA133" s="173">
        <v>0</v>
      </c>
      <c r="AB133" s="165">
        <f t="shared" si="4"/>
        <v>0</v>
      </c>
      <c r="AC133" s="166">
        <f t="shared" si="5"/>
        <v>0</v>
      </c>
    </row>
    <row r="134" spans="1:29" x14ac:dyDescent="0.25">
      <c r="A134" s="4" t="s">
        <v>64</v>
      </c>
      <c r="B134" s="70" t="s">
        <v>123</v>
      </c>
      <c r="C134" s="64" t="s">
        <v>123</v>
      </c>
      <c r="D134" s="70">
        <f>TRUNC(E134*AC134*(1-AA134)*IF(O134="Oui",1,0))</f>
        <v>0</v>
      </c>
      <c r="E134" s="71">
        <v>12</v>
      </c>
      <c r="F134" s="70">
        <f t="shared" si="27"/>
        <v>0</v>
      </c>
      <c r="G134" s="71">
        <v>8</v>
      </c>
      <c r="H134" s="70">
        <f t="shared" ref="H134:H139" si="29">TRUNC(I134*AC134*(1-AA134)*IF(Q134="Oui",1,0))</f>
        <v>0</v>
      </c>
      <c r="I134" s="71">
        <v>4</v>
      </c>
      <c r="J134" s="70" t="s">
        <v>123</v>
      </c>
      <c r="K134" s="64" t="s">
        <v>123</v>
      </c>
      <c r="L134" s="70">
        <f t="shared" si="28"/>
        <v>0</v>
      </c>
      <c r="M134" s="58">
        <v>16</v>
      </c>
      <c r="N134" s="39" t="s">
        <v>123</v>
      </c>
      <c r="O134" s="42" t="s">
        <v>246</v>
      </c>
      <c r="P134" s="42" t="s">
        <v>127</v>
      </c>
      <c r="Q134" s="42" t="s">
        <v>127</v>
      </c>
      <c r="R134" s="39" t="s">
        <v>123</v>
      </c>
      <c r="S134" s="42" t="s">
        <v>184</v>
      </c>
      <c r="T134" s="49" t="s">
        <v>127</v>
      </c>
      <c r="U134" s="42" t="s">
        <v>127</v>
      </c>
      <c r="V134" s="42" t="s">
        <v>127</v>
      </c>
      <c r="W134" s="42" t="s">
        <v>127</v>
      </c>
      <c r="X134" s="36">
        <f t="shared" ref="X134:X153" si="30">IF(W134="Oui",7,4)</f>
        <v>4</v>
      </c>
      <c r="Y134" s="162" t="s">
        <v>61</v>
      </c>
      <c r="Z134" s="163" t="s">
        <v>127</v>
      </c>
      <c r="AA134" s="173">
        <v>0</v>
      </c>
      <c r="AB134" s="165">
        <f t="shared" ref="AB134:AB153" si="31">(IF(T134="Oui",2500,0)+IF(U134="Oui",5000,0)+IF(V134="Oui",10000,0)+IF(W134="Oui",25000,5000))*AC134*(1-AA134)*(I$9+1)</f>
        <v>0</v>
      </c>
      <c r="AC134" s="166">
        <f t="shared" ref="AC134:AC160" si="32">IF((AND($G$6=Y134,Z134="Non")),1,IF((AND($G$6=Y134,Z134="Oui")),0.5,0))</f>
        <v>0</v>
      </c>
    </row>
    <row r="135" spans="1:29" x14ac:dyDescent="0.25">
      <c r="A135" s="4" t="s">
        <v>65</v>
      </c>
      <c r="B135" s="70" t="s">
        <v>123</v>
      </c>
      <c r="C135" s="64" t="s">
        <v>123</v>
      </c>
      <c r="D135" s="70">
        <f>TRUNC(E135*AC135*(1-AA135)*IF(O135="Oui",1,0))</f>
        <v>0</v>
      </c>
      <c r="E135" s="71">
        <v>8</v>
      </c>
      <c r="F135" s="70">
        <f t="shared" si="27"/>
        <v>0</v>
      </c>
      <c r="G135" s="71">
        <v>16</v>
      </c>
      <c r="H135" s="70">
        <f t="shared" si="29"/>
        <v>0</v>
      </c>
      <c r="I135" s="71">
        <v>12</v>
      </c>
      <c r="J135" s="70" t="s">
        <v>123</v>
      </c>
      <c r="K135" s="64" t="s">
        <v>123</v>
      </c>
      <c r="L135" s="70">
        <f t="shared" si="28"/>
        <v>0</v>
      </c>
      <c r="M135" s="58">
        <v>4</v>
      </c>
      <c r="N135" s="39" t="s">
        <v>123</v>
      </c>
      <c r="O135" s="42" t="s">
        <v>127</v>
      </c>
      <c r="P135" s="42" t="s">
        <v>127</v>
      </c>
      <c r="Q135" s="42" t="s">
        <v>127</v>
      </c>
      <c r="R135" s="39" t="s">
        <v>123</v>
      </c>
      <c r="S135" s="42" t="s">
        <v>127</v>
      </c>
      <c r="T135" s="49" t="s">
        <v>127</v>
      </c>
      <c r="U135" s="42" t="s">
        <v>127</v>
      </c>
      <c r="V135" s="42" t="s">
        <v>127</v>
      </c>
      <c r="W135" s="42" t="s">
        <v>127</v>
      </c>
      <c r="X135" s="36">
        <f t="shared" si="30"/>
        <v>4</v>
      </c>
      <c r="Y135" s="162" t="s">
        <v>61</v>
      </c>
      <c r="Z135" s="163" t="s">
        <v>127</v>
      </c>
      <c r="AA135" s="173">
        <v>0</v>
      </c>
      <c r="AB135" s="165">
        <f t="shared" si="31"/>
        <v>0</v>
      </c>
      <c r="AC135" s="166">
        <f t="shared" si="32"/>
        <v>0</v>
      </c>
    </row>
    <row r="136" spans="1:29" x14ac:dyDescent="0.25">
      <c r="A136" s="4" t="s">
        <v>66</v>
      </c>
      <c r="B136" s="70" t="s">
        <v>123</v>
      </c>
      <c r="C136" s="64" t="s">
        <v>123</v>
      </c>
      <c r="D136" s="70">
        <f>TRUNC(E136*AC136*(1-AA136)*IF(O136="Oui",1,0))</f>
        <v>0</v>
      </c>
      <c r="E136" s="71">
        <v>4</v>
      </c>
      <c r="F136" s="70">
        <f t="shared" si="27"/>
        <v>0</v>
      </c>
      <c r="G136" s="71">
        <v>16</v>
      </c>
      <c r="H136" s="70">
        <f t="shared" si="29"/>
        <v>0</v>
      </c>
      <c r="I136" s="71">
        <v>8</v>
      </c>
      <c r="J136" s="70" t="s">
        <v>123</v>
      </c>
      <c r="K136" s="64" t="s">
        <v>123</v>
      </c>
      <c r="L136" s="70">
        <f t="shared" si="28"/>
        <v>0</v>
      </c>
      <c r="M136" s="58">
        <v>12</v>
      </c>
      <c r="N136" s="39" t="s">
        <v>123</v>
      </c>
      <c r="O136" s="42" t="s">
        <v>127</v>
      </c>
      <c r="P136" s="42" t="s">
        <v>127</v>
      </c>
      <c r="Q136" s="42" t="s">
        <v>127</v>
      </c>
      <c r="R136" s="39" t="s">
        <v>123</v>
      </c>
      <c r="S136" s="42" t="s">
        <v>127</v>
      </c>
      <c r="T136" s="49" t="s">
        <v>127</v>
      </c>
      <c r="U136" s="42" t="s">
        <v>184</v>
      </c>
      <c r="V136" s="42" t="s">
        <v>127</v>
      </c>
      <c r="W136" s="42" t="s">
        <v>127</v>
      </c>
      <c r="X136" s="36">
        <f t="shared" si="30"/>
        <v>4</v>
      </c>
      <c r="Y136" s="162" t="s">
        <v>61</v>
      </c>
      <c r="Z136" s="163" t="s">
        <v>127</v>
      </c>
      <c r="AA136" s="173">
        <v>0</v>
      </c>
      <c r="AB136" s="165">
        <f t="shared" si="31"/>
        <v>0</v>
      </c>
      <c r="AC136" s="166">
        <f t="shared" si="32"/>
        <v>0</v>
      </c>
    </row>
    <row r="137" spans="1:29" x14ac:dyDescent="0.25">
      <c r="A137" s="4" t="s">
        <v>67</v>
      </c>
      <c r="B137" s="70" t="s">
        <v>123</v>
      </c>
      <c r="C137" s="64" t="s">
        <v>123</v>
      </c>
      <c r="D137" s="70" t="s">
        <v>123</v>
      </c>
      <c r="E137" s="64" t="s">
        <v>123</v>
      </c>
      <c r="F137" s="70">
        <f t="shared" si="27"/>
        <v>0</v>
      </c>
      <c r="G137" s="71">
        <v>12</v>
      </c>
      <c r="H137" s="70">
        <f t="shared" si="29"/>
        <v>0</v>
      </c>
      <c r="I137" s="71">
        <v>4</v>
      </c>
      <c r="J137" s="70">
        <f>TRUNC(K137*AC137*(1-AA137)*IF(R137="Oui",1,0))</f>
        <v>0</v>
      </c>
      <c r="K137" s="71">
        <v>8</v>
      </c>
      <c r="L137" s="70">
        <f t="shared" si="28"/>
        <v>0</v>
      </c>
      <c r="M137" s="58">
        <v>16</v>
      </c>
      <c r="N137" s="39" t="s">
        <v>123</v>
      </c>
      <c r="O137" s="39" t="s">
        <v>123</v>
      </c>
      <c r="P137" s="42" t="s">
        <v>127</v>
      </c>
      <c r="Q137" s="42" t="s">
        <v>127</v>
      </c>
      <c r="R137" s="42" t="s">
        <v>127</v>
      </c>
      <c r="S137" s="42" t="s">
        <v>184</v>
      </c>
      <c r="T137" s="49" t="s">
        <v>127</v>
      </c>
      <c r="U137" s="42" t="s">
        <v>127</v>
      </c>
      <c r="V137" s="42" t="s">
        <v>127</v>
      </c>
      <c r="W137" s="42" t="s">
        <v>127</v>
      </c>
      <c r="X137" s="36">
        <f t="shared" si="30"/>
        <v>4</v>
      </c>
      <c r="Y137" s="162" t="s">
        <v>61</v>
      </c>
      <c r="Z137" s="163" t="s">
        <v>127</v>
      </c>
      <c r="AA137" s="173">
        <v>0</v>
      </c>
      <c r="AB137" s="165">
        <f t="shared" si="31"/>
        <v>0</v>
      </c>
      <c r="AC137" s="166">
        <f t="shared" si="32"/>
        <v>0</v>
      </c>
    </row>
    <row r="138" spans="1:29" x14ac:dyDescent="0.25">
      <c r="A138" s="4" t="s">
        <v>68</v>
      </c>
      <c r="B138" s="70" t="s">
        <v>123</v>
      </c>
      <c r="C138" s="64" t="s">
        <v>123</v>
      </c>
      <c r="D138" s="70" t="s">
        <v>123</v>
      </c>
      <c r="E138" s="64" t="s">
        <v>123</v>
      </c>
      <c r="F138" s="70">
        <f t="shared" si="27"/>
        <v>0</v>
      </c>
      <c r="G138" s="71">
        <v>16</v>
      </c>
      <c r="H138" s="70">
        <f t="shared" si="29"/>
        <v>0</v>
      </c>
      <c r="I138" s="71">
        <v>4</v>
      </c>
      <c r="J138" s="70">
        <f>TRUNC(K138*AC138*(1-AA138)*IF(R138="Oui",1,0))</f>
        <v>0</v>
      </c>
      <c r="K138" s="71">
        <v>12</v>
      </c>
      <c r="L138" s="70">
        <f t="shared" si="28"/>
        <v>0</v>
      </c>
      <c r="M138" s="58">
        <v>8</v>
      </c>
      <c r="N138" s="39" t="s">
        <v>123</v>
      </c>
      <c r="O138" s="39" t="s">
        <v>123</v>
      </c>
      <c r="P138" s="42" t="s">
        <v>127</v>
      </c>
      <c r="Q138" s="42" t="s">
        <v>127</v>
      </c>
      <c r="R138" s="42" t="s">
        <v>184</v>
      </c>
      <c r="S138" s="42" t="s">
        <v>127</v>
      </c>
      <c r="T138" s="49" t="s">
        <v>127</v>
      </c>
      <c r="U138" s="42" t="s">
        <v>127</v>
      </c>
      <c r="V138" s="42" t="s">
        <v>127</v>
      </c>
      <c r="W138" s="42" t="s">
        <v>127</v>
      </c>
      <c r="X138" s="36">
        <f t="shared" si="30"/>
        <v>4</v>
      </c>
      <c r="Y138" s="162" t="s">
        <v>61</v>
      </c>
      <c r="Z138" s="163" t="s">
        <v>127</v>
      </c>
      <c r="AA138" s="173">
        <v>0</v>
      </c>
      <c r="AB138" s="165">
        <f t="shared" si="31"/>
        <v>0</v>
      </c>
      <c r="AC138" s="166">
        <f t="shared" si="32"/>
        <v>0</v>
      </c>
    </row>
    <row r="139" spans="1:29" ht="15.75" thickBot="1" x14ac:dyDescent="0.3">
      <c r="A139" s="4" t="s">
        <v>69</v>
      </c>
      <c r="B139" s="70" t="s">
        <v>123</v>
      </c>
      <c r="C139" s="64" t="s">
        <v>123</v>
      </c>
      <c r="D139" s="70">
        <f>TRUNC(E139*AC139*(1-AA139)*IF(O139="Oui",1,0))</f>
        <v>0</v>
      </c>
      <c r="E139" s="75">
        <v>4</v>
      </c>
      <c r="F139" s="70">
        <f t="shared" si="27"/>
        <v>0</v>
      </c>
      <c r="G139" s="71">
        <v>16</v>
      </c>
      <c r="H139" s="70">
        <f t="shared" si="29"/>
        <v>0</v>
      </c>
      <c r="I139" s="71">
        <v>8</v>
      </c>
      <c r="J139" s="70">
        <f>TRUNC(K139*AC139*(1-AA139)*IF(R139="Oui",1,0))</f>
        <v>0</v>
      </c>
      <c r="K139" s="71">
        <v>12</v>
      </c>
      <c r="L139" s="70" t="s">
        <v>123</v>
      </c>
      <c r="M139" s="58" t="s">
        <v>123</v>
      </c>
      <c r="N139" s="39" t="s">
        <v>123</v>
      </c>
      <c r="O139" s="45" t="s">
        <v>127</v>
      </c>
      <c r="P139" s="45" t="s">
        <v>184</v>
      </c>
      <c r="Q139" s="45" t="s">
        <v>127</v>
      </c>
      <c r="R139" s="45" t="s">
        <v>184</v>
      </c>
      <c r="S139" s="44" t="s">
        <v>123</v>
      </c>
      <c r="T139" s="49" t="s">
        <v>127</v>
      </c>
      <c r="U139" s="42" t="s">
        <v>127</v>
      </c>
      <c r="V139" s="42" t="s">
        <v>127</v>
      </c>
      <c r="W139" s="42" t="s">
        <v>246</v>
      </c>
      <c r="X139" s="36">
        <f t="shared" si="30"/>
        <v>4</v>
      </c>
      <c r="Y139" s="167" t="s">
        <v>61</v>
      </c>
      <c r="Z139" s="168" t="s">
        <v>127</v>
      </c>
      <c r="AA139" s="174">
        <v>0</v>
      </c>
      <c r="AB139" s="170">
        <f t="shared" si="31"/>
        <v>0</v>
      </c>
      <c r="AC139" s="171">
        <f t="shared" si="32"/>
        <v>0</v>
      </c>
    </row>
    <row r="140" spans="1:29" ht="15.75" thickBot="1" x14ac:dyDescent="0.3">
      <c r="A140" s="31" t="s">
        <v>70</v>
      </c>
      <c r="B140" s="250" t="str">
        <f>B$68</f>
        <v>Nourriture</v>
      </c>
      <c r="C140" s="251"/>
      <c r="D140" s="217" t="str">
        <f>D$68</f>
        <v>Bois</v>
      </c>
      <c r="E140" s="218"/>
      <c r="F140" s="217" t="str">
        <f>F$68</f>
        <v>Fer</v>
      </c>
      <c r="G140" s="218"/>
      <c r="H140" s="217" t="str">
        <f>H$68</f>
        <v>Cuir</v>
      </c>
      <c r="I140" s="218"/>
      <c r="J140" s="217" t="str">
        <f>J$68</f>
        <v>Pierre</v>
      </c>
      <c r="K140" s="218"/>
      <c r="L140" s="217" t="str">
        <f>L$68</f>
        <v>Gemmes</v>
      </c>
      <c r="M140" s="223"/>
      <c r="N140" s="94" t="s">
        <v>108</v>
      </c>
      <c r="O140" s="92" t="s">
        <v>109</v>
      </c>
      <c r="P140" s="92" t="s">
        <v>110</v>
      </c>
      <c r="Q140" s="92" t="s">
        <v>171</v>
      </c>
      <c r="R140" s="92" t="s">
        <v>172</v>
      </c>
      <c r="S140" s="104" t="s">
        <v>116</v>
      </c>
      <c r="T140" s="6" t="str">
        <f t="shared" ref="T140:W140" si="33">T$68</f>
        <v>Comptoir</v>
      </c>
      <c r="U140" s="6" t="str">
        <f t="shared" si="33"/>
        <v>Marché</v>
      </c>
      <c r="V140" s="6" t="str">
        <f t="shared" si="33"/>
        <v>Banque</v>
      </c>
      <c r="W140" s="6" t="str">
        <f t="shared" si="33"/>
        <v>Palais</v>
      </c>
      <c r="X140" s="26"/>
      <c r="Y140" s="3"/>
      <c r="Z140" s="3"/>
      <c r="AA140" s="3"/>
      <c r="AB140" s="90"/>
      <c r="AC140" s="51"/>
    </row>
    <row r="141" spans="1:29" x14ac:dyDescent="0.25">
      <c r="A141" s="4" t="s">
        <v>71</v>
      </c>
      <c r="B141" s="57">
        <f t="shared" ref="B141:B148" si="34">TRUNC(C141*AC141*(1-AA141)*IF(N141="Oui",1,0))</f>
        <v>0</v>
      </c>
      <c r="C141" s="69">
        <v>8</v>
      </c>
      <c r="D141" s="70">
        <f t="shared" ref="D141:D146" si="35">TRUNC(E141*AC141*(1-AA141)*IF(O141="Oui",1,0))</f>
        <v>0</v>
      </c>
      <c r="E141" s="71">
        <v>4</v>
      </c>
      <c r="F141" s="70" t="s">
        <v>123</v>
      </c>
      <c r="G141" s="64" t="s">
        <v>123</v>
      </c>
      <c r="H141" s="70">
        <f t="shared" ref="H141:H148" si="36">TRUNC(I141*AC141*(1-AA141)*IF(Q141="Oui",1,0))</f>
        <v>0</v>
      </c>
      <c r="I141" s="69">
        <v>12</v>
      </c>
      <c r="J141" s="70" t="s">
        <v>123</v>
      </c>
      <c r="K141" s="64" t="s">
        <v>123</v>
      </c>
      <c r="L141" s="70">
        <f>TRUNC(M141*AC141*(1-AA141)*IF(S141="Oui",1,0))</f>
        <v>0</v>
      </c>
      <c r="M141" s="58">
        <v>16</v>
      </c>
      <c r="N141" s="38" t="s">
        <v>184</v>
      </c>
      <c r="O141" s="40" t="s">
        <v>127</v>
      </c>
      <c r="P141" s="39" t="s">
        <v>123</v>
      </c>
      <c r="Q141" s="40" t="s">
        <v>127</v>
      </c>
      <c r="R141" s="39" t="s">
        <v>123</v>
      </c>
      <c r="S141" s="40" t="s">
        <v>246</v>
      </c>
      <c r="T141" s="48" t="s">
        <v>184</v>
      </c>
      <c r="U141" s="40" t="s">
        <v>127</v>
      </c>
      <c r="V141" s="40" t="s">
        <v>246</v>
      </c>
      <c r="W141" s="40" t="s">
        <v>184</v>
      </c>
      <c r="X141" s="36">
        <f t="shared" si="30"/>
        <v>7</v>
      </c>
      <c r="Y141" s="157" t="s">
        <v>70</v>
      </c>
      <c r="Z141" s="158" t="s">
        <v>127</v>
      </c>
      <c r="AA141" s="172">
        <v>0</v>
      </c>
      <c r="AB141" s="160">
        <f t="shared" si="31"/>
        <v>0</v>
      </c>
      <c r="AC141" s="161">
        <f t="shared" si="32"/>
        <v>0</v>
      </c>
    </row>
    <row r="142" spans="1:29" x14ac:dyDescent="0.25">
      <c r="A142" s="4" t="s">
        <v>72</v>
      </c>
      <c r="B142" s="57">
        <f t="shared" si="34"/>
        <v>0</v>
      </c>
      <c r="C142" s="71">
        <v>4</v>
      </c>
      <c r="D142" s="70">
        <f t="shared" si="35"/>
        <v>0</v>
      </c>
      <c r="E142" s="71">
        <v>16</v>
      </c>
      <c r="F142" s="70">
        <f>TRUNC(G142*AC142*(1-AA142)*IF(P142="Oui",1,0))</f>
        <v>0</v>
      </c>
      <c r="G142" s="71">
        <v>8</v>
      </c>
      <c r="H142" s="70">
        <f t="shared" si="36"/>
        <v>0</v>
      </c>
      <c r="I142" s="71">
        <v>12</v>
      </c>
      <c r="J142" s="70" t="s">
        <v>123</v>
      </c>
      <c r="K142" s="64" t="s">
        <v>123</v>
      </c>
      <c r="L142" s="70" t="s">
        <v>123</v>
      </c>
      <c r="M142" s="58" t="s">
        <v>123</v>
      </c>
      <c r="N142" s="41" t="s">
        <v>127</v>
      </c>
      <c r="O142" s="42" t="s">
        <v>127</v>
      </c>
      <c r="P142" s="42" t="s">
        <v>127</v>
      </c>
      <c r="Q142" s="42" t="s">
        <v>127</v>
      </c>
      <c r="R142" s="39" t="s">
        <v>123</v>
      </c>
      <c r="S142" s="39" t="s">
        <v>123</v>
      </c>
      <c r="T142" s="49" t="s">
        <v>127</v>
      </c>
      <c r="U142" s="42" t="s">
        <v>127</v>
      </c>
      <c r="V142" s="42" t="s">
        <v>127</v>
      </c>
      <c r="W142" s="42" t="s">
        <v>127</v>
      </c>
      <c r="X142" s="36">
        <f t="shared" si="30"/>
        <v>4</v>
      </c>
      <c r="Y142" s="162" t="s">
        <v>70</v>
      </c>
      <c r="Z142" s="163" t="s">
        <v>127</v>
      </c>
      <c r="AA142" s="173">
        <v>0</v>
      </c>
      <c r="AB142" s="165">
        <f t="shared" si="31"/>
        <v>0</v>
      </c>
      <c r="AC142" s="166">
        <f t="shared" si="32"/>
        <v>0</v>
      </c>
    </row>
    <row r="143" spans="1:29" x14ac:dyDescent="0.25">
      <c r="A143" s="4" t="s">
        <v>73</v>
      </c>
      <c r="B143" s="57">
        <f t="shared" si="34"/>
        <v>0</v>
      </c>
      <c r="C143" s="71">
        <v>12</v>
      </c>
      <c r="D143" s="70">
        <f t="shared" si="35"/>
        <v>0</v>
      </c>
      <c r="E143" s="71">
        <v>8</v>
      </c>
      <c r="F143" s="70" t="s">
        <v>123</v>
      </c>
      <c r="G143" s="64" t="s">
        <v>123</v>
      </c>
      <c r="H143" s="70">
        <f t="shared" si="36"/>
        <v>0</v>
      </c>
      <c r="I143" s="71">
        <v>16</v>
      </c>
      <c r="J143" s="70" t="s">
        <v>123</v>
      </c>
      <c r="K143" s="64" t="s">
        <v>123</v>
      </c>
      <c r="L143" s="70">
        <f>TRUNC(M143*AC143*(1-AA143)*IF(S143="Oui",1,0))</f>
        <v>0</v>
      </c>
      <c r="M143" s="58">
        <v>4</v>
      </c>
      <c r="N143" s="41" t="s">
        <v>184</v>
      </c>
      <c r="O143" s="42" t="s">
        <v>127</v>
      </c>
      <c r="P143" s="39" t="s">
        <v>123</v>
      </c>
      <c r="Q143" s="42" t="s">
        <v>127</v>
      </c>
      <c r="R143" s="39" t="s">
        <v>123</v>
      </c>
      <c r="S143" s="42" t="s">
        <v>127</v>
      </c>
      <c r="T143" s="49" t="s">
        <v>127</v>
      </c>
      <c r="U143" s="42" t="s">
        <v>127</v>
      </c>
      <c r="V143" s="42" t="s">
        <v>127</v>
      </c>
      <c r="W143" s="42" t="s">
        <v>127</v>
      </c>
      <c r="X143" s="36">
        <f t="shared" si="30"/>
        <v>4</v>
      </c>
      <c r="Y143" s="162" t="s">
        <v>70</v>
      </c>
      <c r="Z143" s="163" t="s">
        <v>127</v>
      </c>
      <c r="AA143" s="173">
        <v>0</v>
      </c>
      <c r="AB143" s="165">
        <f t="shared" si="31"/>
        <v>0</v>
      </c>
      <c r="AC143" s="166">
        <f t="shared" si="32"/>
        <v>0</v>
      </c>
    </row>
    <row r="144" spans="1:29" x14ac:dyDescent="0.25">
      <c r="A144" s="4" t="s">
        <v>74</v>
      </c>
      <c r="B144" s="57">
        <f t="shared" si="34"/>
        <v>0</v>
      </c>
      <c r="C144" s="71">
        <v>8</v>
      </c>
      <c r="D144" s="70">
        <f t="shared" si="35"/>
        <v>0</v>
      </c>
      <c r="E144" s="71">
        <v>4</v>
      </c>
      <c r="F144" s="70" t="s">
        <v>123</v>
      </c>
      <c r="G144" s="64" t="s">
        <v>123</v>
      </c>
      <c r="H144" s="70">
        <f t="shared" si="36"/>
        <v>0</v>
      </c>
      <c r="I144" s="71">
        <v>16</v>
      </c>
      <c r="J144" s="70" t="s">
        <v>123</v>
      </c>
      <c r="K144" s="64" t="s">
        <v>123</v>
      </c>
      <c r="L144" s="70">
        <f>TRUNC(M144*AC144*(1-AA144)*IF(S144="Oui",1,0))</f>
        <v>0</v>
      </c>
      <c r="M144" s="58">
        <v>12</v>
      </c>
      <c r="N144" s="41" t="s">
        <v>127</v>
      </c>
      <c r="O144" s="42" t="s">
        <v>127</v>
      </c>
      <c r="P144" s="39" t="s">
        <v>123</v>
      </c>
      <c r="Q144" s="42" t="s">
        <v>127</v>
      </c>
      <c r="R144" s="39" t="s">
        <v>123</v>
      </c>
      <c r="S144" s="42" t="s">
        <v>127</v>
      </c>
      <c r="T144" s="49" t="s">
        <v>127</v>
      </c>
      <c r="U144" s="42" t="s">
        <v>127</v>
      </c>
      <c r="V144" s="42" t="s">
        <v>127</v>
      </c>
      <c r="W144" s="42" t="s">
        <v>127</v>
      </c>
      <c r="X144" s="36">
        <f t="shared" si="30"/>
        <v>4</v>
      </c>
      <c r="Y144" s="162" t="s">
        <v>70</v>
      </c>
      <c r="Z144" s="163" t="s">
        <v>127</v>
      </c>
      <c r="AA144" s="173">
        <v>0</v>
      </c>
      <c r="AB144" s="165">
        <f t="shared" si="31"/>
        <v>0</v>
      </c>
      <c r="AC144" s="166">
        <f t="shared" si="32"/>
        <v>0</v>
      </c>
    </row>
    <row r="145" spans="1:29" x14ac:dyDescent="0.25">
      <c r="A145" s="4" t="s">
        <v>75</v>
      </c>
      <c r="B145" s="57">
        <f t="shared" si="34"/>
        <v>0</v>
      </c>
      <c r="C145" s="71">
        <v>4</v>
      </c>
      <c r="D145" s="70">
        <f t="shared" si="35"/>
        <v>0</v>
      </c>
      <c r="E145" s="71">
        <v>12</v>
      </c>
      <c r="F145" s="70" t="s">
        <v>123</v>
      </c>
      <c r="G145" s="64" t="s">
        <v>123</v>
      </c>
      <c r="H145" s="70">
        <f t="shared" si="36"/>
        <v>0</v>
      </c>
      <c r="I145" s="71">
        <v>16</v>
      </c>
      <c r="J145" s="70">
        <f>TRUNC(K145*AC145*(1-AA145)*IF(R145="Oui",1,0))</f>
        <v>0</v>
      </c>
      <c r="K145" s="71">
        <v>8</v>
      </c>
      <c r="L145" s="70" t="s">
        <v>123</v>
      </c>
      <c r="M145" s="58" t="s">
        <v>123</v>
      </c>
      <c r="N145" s="41" t="s">
        <v>127</v>
      </c>
      <c r="O145" s="42" t="s">
        <v>127</v>
      </c>
      <c r="P145" s="39" t="s">
        <v>123</v>
      </c>
      <c r="Q145" s="42" t="s">
        <v>127</v>
      </c>
      <c r="R145" s="42" t="s">
        <v>127</v>
      </c>
      <c r="S145" s="39" t="s">
        <v>123</v>
      </c>
      <c r="T145" s="49" t="s">
        <v>127</v>
      </c>
      <c r="U145" s="42" t="s">
        <v>246</v>
      </c>
      <c r="V145" s="42" t="s">
        <v>127</v>
      </c>
      <c r="W145" s="42" t="s">
        <v>127</v>
      </c>
      <c r="X145" s="36">
        <f t="shared" si="30"/>
        <v>4</v>
      </c>
      <c r="Y145" s="162" t="s">
        <v>70</v>
      </c>
      <c r="Z145" s="163" t="s">
        <v>127</v>
      </c>
      <c r="AA145" s="173">
        <v>0</v>
      </c>
      <c r="AB145" s="165">
        <f t="shared" si="31"/>
        <v>0</v>
      </c>
      <c r="AC145" s="166">
        <f t="shared" si="32"/>
        <v>0</v>
      </c>
    </row>
    <row r="146" spans="1:29" x14ac:dyDescent="0.25">
      <c r="A146" s="4" t="s">
        <v>76</v>
      </c>
      <c r="B146" s="57">
        <f t="shared" si="34"/>
        <v>0</v>
      </c>
      <c r="C146" s="71">
        <v>16</v>
      </c>
      <c r="D146" s="70">
        <f t="shared" si="35"/>
        <v>0</v>
      </c>
      <c r="E146" s="71">
        <v>4</v>
      </c>
      <c r="F146" s="70" t="s">
        <v>123</v>
      </c>
      <c r="G146" s="64" t="s">
        <v>123</v>
      </c>
      <c r="H146" s="70">
        <f t="shared" si="36"/>
        <v>0</v>
      </c>
      <c r="I146" s="71">
        <v>12</v>
      </c>
      <c r="J146" s="70" t="s">
        <v>123</v>
      </c>
      <c r="K146" s="64" t="s">
        <v>123</v>
      </c>
      <c r="L146" s="70">
        <f>TRUNC(M146*AC146*(1-AA146)*IF(S146="Oui",1,0))</f>
        <v>0</v>
      </c>
      <c r="M146" s="58">
        <v>8</v>
      </c>
      <c r="N146" s="41" t="s">
        <v>184</v>
      </c>
      <c r="O146" s="42" t="s">
        <v>127</v>
      </c>
      <c r="P146" s="39" t="s">
        <v>123</v>
      </c>
      <c r="Q146" s="42" t="s">
        <v>127</v>
      </c>
      <c r="R146" s="39" t="s">
        <v>123</v>
      </c>
      <c r="S146" s="42" t="s">
        <v>127</v>
      </c>
      <c r="T146" s="49" t="s">
        <v>127</v>
      </c>
      <c r="U146" s="42" t="s">
        <v>127</v>
      </c>
      <c r="V146" s="42" t="s">
        <v>127</v>
      </c>
      <c r="W146" s="42" t="s">
        <v>127</v>
      </c>
      <c r="X146" s="36">
        <f t="shared" si="30"/>
        <v>4</v>
      </c>
      <c r="Y146" s="162" t="s">
        <v>70</v>
      </c>
      <c r="Z146" s="163" t="s">
        <v>127</v>
      </c>
      <c r="AA146" s="173">
        <v>0</v>
      </c>
      <c r="AB146" s="165">
        <f t="shared" si="31"/>
        <v>0</v>
      </c>
      <c r="AC146" s="166">
        <f t="shared" si="32"/>
        <v>0</v>
      </c>
    </row>
    <row r="147" spans="1:29" x14ac:dyDescent="0.25">
      <c r="A147" s="4" t="s">
        <v>77</v>
      </c>
      <c r="B147" s="57">
        <f t="shared" si="34"/>
        <v>0</v>
      </c>
      <c r="C147" s="71">
        <v>16</v>
      </c>
      <c r="D147" s="70" t="s">
        <v>123</v>
      </c>
      <c r="E147" s="64" t="s">
        <v>123</v>
      </c>
      <c r="F147" s="70" t="s">
        <v>123</v>
      </c>
      <c r="G147" s="64" t="s">
        <v>123</v>
      </c>
      <c r="H147" s="70">
        <f t="shared" si="36"/>
        <v>0</v>
      </c>
      <c r="I147" s="71">
        <v>8</v>
      </c>
      <c r="J147" s="70">
        <f>TRUNC(K147*AI147*(1-AG147)*IF(U147="Oui",1,0))</f>
        <v>0</v>
      </c>
      <c r="K147" s="71">
        <v>4</v>
      </c>
      <c r="L147" s="70">
        <f>TRUNC(M147*AC147*(1-AA147)*IF(S147="Oui",1,0))</f>
        <v>0</v>
      </c>
      <c r="M147" s="58">
        <v>12</v>
      </c>
      <c r="N147" s="41" t="s">
        <v>246</v>
      </c>
      <c r="O147" s="39" t="s">
        <v>123</v>
      </c>
      <c r="P147" s="39" t="s">
        <v>123</v>
      </c>
      <c r="Q147" s="42" t="s">
        <v>127</v>
      </c>
      <c r="R147" s="42" t="s">
        <v>127</v>
      </c>
      <c r="S147" s="42" t="s">
        <v>127</v>
      </c>
      <c r="T147" s="49" t="s">
        <v>127</v>
      </c>
      <c r="U147" s="42" t="s">
        <v>184</v>
      </c>
      <c r="V147" s="42" t="s">
        <v>127</v>
      </c>
      <c r="W147" s="42" t="s">
        <v>127</v>
      </c>
      <c r="X147" s="36">
        <f t="shared" si="30"/>
        <v>4</v>
      </c>
      <c r="Y147" s="162" t="s">
        <v>70</v>
      </c>
      <c r="Z147" s="163" t="s">
        <v>127</v>
      </c>
      <c r="AA147" s="173">
        <v>0</v>
      </c>
      <c r="AB147" s="165">
        <f t="shared" si="31"/>
        <v>0</v>
      </c>
      <c r="AC147" s="166">
        <f t="shared" si="32"/>
        <v>0</v>
      </c>
    </row>
    <row r="148" spans="1:29" ht="15.75" thickBot="1" x14ac:dyDescent="0.3">
      <c r="A148" s="4" t="s">
        <v>78</v>
      </c>
      <c r="B148" s="57">
        <f t="shared" si="34"/>
        <v>0</v>
      </c>
      <c r="C148" s="71">
        <v>16</v>
      </c>
      <c r="D148" s="70" t="s">
        <v>123</v>
      </c>
      <c r="E148" s="64" t="s">
        <v>123</v>
      </c>
      <c r="F148" s="70" t="s">
        <v>123</v>
      </c>
      <c r="G148" s="64" t="s">
        <v>123</v>
      </c>
      <c r="H148" s="70">
        <f t="shared" si="36"/>
        <v>0</v>
      </c>
      <c r="I148" s="71">
        <v>12</v>
      </c>
      <c r="J148" s="70">
        <f>TRUNC(K148*AI148*(1-AG148)*IF(U148="Oui",1,0))</f>
        <v>0</v>
      </c>
      <c r="K148" s="71">
        <v>4</v>
      </c>
      <c r="L148" s="70">
        <f>TRUNC(M148*AC148*(1-AA148)*IF(S148="Oui",1,0))</f>
        <v>0</v>
      </c>
      <c r="M148" s="58">
        <v>8</v>
      </c>
      <c r="N148" s="43" t="s">
        <v>184</v>
      </c>
      <c r="O148" s="39" t="s">
        <v>123</v>
      </c>
      <c r="P148" s="39" t="s">
        <v>123</v>
      </c>
      <c r="Q148" s="45" t="s">
        <v>127</v>
      </c>
      <c r="R148" s="45" t="s">
        <v>127</v>
      </c>
      <c r="S148" s="45" t="s">
        <v>127</v>
      </c>
      <c r="T148" s="49" t="s">
        <v>184</v>
      </c>
      <c r="U148" s="42" t="s">
        <v>127</v>
      </c>
      <c r="V148" s="42" t="s">
        <v>127</v>
      </c>
      <c r="W148" s="42" t="s">
        <v>127</v>
      </c>
      <c r="X148" s="36">
        <f t="shared" si="30"/>
        <v>4</v>
      </c>
      <c r="Y148" s="167" t="s">
        <v>70</v>
      </c>
      <c r="Z148" s="168" t="s">
        <v>127</v>
      </c>
      <c r="AA148" s="174">
        <v>0</v>
      </c>
      <c r="AB148" s="170">
        <f t="shared" si="31"/>
        <v>0</v>
      </c>
      <c r="AC148" s="171">
        <f t="shared" si="32"/>
        <v>0</v>
      </c>
    </row>
    <row r="149" spans="1:29" ht="15.75" thickBot="1" x14ac:dyDescent="0.3">
      <c r="A149" s="31" t="s">
        <v>79</v>
      </c>
      <c r="B149" s="250" t="str">
        <f>B$68</f>
        <v>Nourriture</v>
      </c>
      <c r="C149" s="251"/>
      <c r="D149" s="217" t="str">
        <f>D$68</f>
        <v>Bois</v>
      </c>
      <c r="E149" s="218"/>
      <c r="F149" s="217" t="str">
        <f>F$68</f>
        <v>Fer</v>
      </c>
      <c r="G149" s="218"/>
      <c r="H149" s="217" t="str">
        <f>H$68</f>
        <v>Cuir</v>
      </c>
      <c r="I149" s="218"/>
      <c r="J149" s="217" t="str">
        <f>J$68</f>
        <v>Pierre</v>
      </c>
      <c r="K149" s="218"/>
      <c r="L149" s="217" t="str">
        <f>L$68</f>
        <v>Gemmes</v>
      </c>
      <c r="M149" s="223"/>
      <c r="N149" s="94" t="s">
        <v>108</v>
      </c>
      <c r="O149" s="92" t="s">
        <v>109</v>
      </c>
      <c r="P149" s="92" t="s">
        <v>110</v>
      </c>
      <c r="Q149" s="92" t="s">
        <v>171</v>
      </c>
      <c r="R149" s="92" t="s">
        <v>172</v>
      </c>
      <c r="S149" s="104" t="s">
        <v>116</v>
      </c>
      <c r="T149" s="6" t="str">
        <f t="shared" ref="T149:W149" si="37">T$68</f>
        <v>Comptoir</v>
      </c>
      <c r="U149" s="6" t="str">
        <f t="shared" si="37"/>
        <v>Marché</v>
      </c>
      <c r="V149" s="6" t="str">
        <f t="shared" si="37"/>
        <v>Banque</v>
      </c>
      <c r="W149" s="6" t="str">
        <f t="shared" si="37"/>
        <v>Palais</v>
      </c>
      <c r="X149" s="26"/>
      <c r="Y149" s="3"/>
      <c r="Z149" s="3"/>
      <c r="AA149" s="3"/>
      <c r="AB149" s="90"/>
      <c r="AC149" s="51"/>
    </row>
    <row r="150" spans="1:29" x14ac:dyDescent="0.25">
      <c r="A150" s="4" t="s">
        <v>82</v>
      </c>
      <c r="B150" s="70" t="s">
        <v>123</v>
      </c>
      <c r="C150" s="64" t="s">
        <v>123</v>
      </c>
      <c r="D150" s="70">
        <f>TRUNC(E150*AC150*(1-AA150)*IF(O150="Oui",1,0))</f>
        <v>0</v>
      </c>
      <c r="E150" s="69">
        <v>4</v>
      </c>
      <c r="F150" s="70">
        <f>TRUNC(G150*AC150*(1-AA150)*IF(P150="Oui",1,0))</f>
        <v>0</v>
      </c>
      <c r="G150" s="69">
        <v>16</v>
      </c>
      <c r="H150" s="70">
        <f>TRUNC(I150*AC150*(1-AA150)*IF(Q150="Oui",1,0))</f>
        <v>0</v>
      </c>
      <c r="I150" s="71">
        <v>12</v>
      </c>
      <c r="J150" s="70">
        <f>TRUNC(K150*AC150*(1-AA150)*IF(R150="Oui",1,0))</f>
        <v>0</v>
      </c>
      <c r="K150" s="69">
        <v>8</v>
      </c>
      <c r="L150" s="70" t="s">
        <v>123</v>
      </c>
      <c r="M150" s="58" t="s">
        <v>123</v>
      </c>
      <c r="N150" s="39" t="s">
        <v>123</v>
      </c>
      <c r="O150" s="42" t="s">
        <v>127</v>
      </c>
      <c r="P150" s="42" t="s">
        <v>127</v>
      </c>
      <c r="Q150" s="42" t="s">
        <v>127</v>
      </c>
      <c r="R150" s="42" t="s">
        <v>127</v>
      </c>
      <c r="S150" s="39" t="s">
        <v>123</v>
      </c>
      <c r="T150" s="49" t="s">
        <v>184</v>
      </c>
      <c r="U150" s="42" t="s">
        <v>184</v>
      </c>
      <c r="V150" s="42" t="s">
        <v>246</v>
      </c>
      <c r="W150" s="42" t="s">
        <v>184</v>
      </c>
      <c r="X150" s="36">
        <f t="shared" si="30"/>
        <v>7</v>
      </c>
      <c r="Y150" s="157" t="s">
        <v>79</v>
      </c>
      <c r="Z150" s="158" t="s">
        <v>127</v>
      </c>
      <c r="AA150" s="172">
        <v>0.35</v>
      </c>
      <c r="AB150" s="160">
        <f t="shared" si="31"/>
        <v>0</v>
      </c>
      <c r="AC150" s="161">
        <f t="shared" si="32"/>
        <v>0</v>
      </c>
    </row>
    <row r="151" spans="1:29" x14ac:dyDescent="0.25">
      <c r="A151" s="4" t="s">
        <v>81</v>
      </c>
      <c r="B151" s="70" t="s">
        <v>123</v>
      </c>
      <c r="C151" s="64" t="s">
        <v>123</v>
      </c>
      <c r="D151" s="70">
        <f>TRUNC(E151*AC151*(1-AA151)*IF(O151="Oui",1,0))</f>
        <v>0</v>
      </c>
      <c r="E151" s="71">
        <v>8</v>
      </c>
      <c r="F151" s="70">
        <f>TRUNC(G151*AC151*(1-AA151)*IF(P151="Oui",1,0))</f>
        <v>0</v>
      </c>
      <c r="G151" s="71">
        <v>16</v>
      </c>
      <c r="H151" s="70">
        <f>TRUNC(I151*AC151*(1-AA151)*IF(Q151="Oui",1,0))</f>
        <v>0</v>
      </c>
      <c r="I151" s="71">
        <v>4</v>
      </c>
      <c r="J151" s="70">
        <f>TRUNC(K151*AC151*(1-AA151)*IF(R151="Oui",1,0))</f>
        <v>0</v>
      </c>
      <c r="K151" s="71">
        <v>12</v>
      </c>
      <c r="L151" s="70" t="s">
        <v>123</v>
      </c>
      <c r="M151" s="58" t="s">
        <v>123</v>
      </c>
      <c r="N151" s="39" t="s">
        <v>123</v>
      </c>
      <c r="O151" s="42" t="s">
        <v>127</v>
      </c>
      <c r="P151" s="42" t="s">
        <v>127</v>
      </c>
      <c r="Q151" s="42" t="s">
        <v>127</v>
      </c>
      <c r="R151" s="42" t="s">
        <v>127</v>
      </c>
      <c r="S151" s="39" t="s">
        <v>123</v>
      </c>
      <c r="T151" s="49" t="s">
        <v>184</v>
      </c>
      <c r="U151" s="42" t="s">
        <v>246</v>
      </c>
      <c r="V151" s="42" t="s">
        <v>127</v>
      </c>
      <c r="W151" s="42" t="s">
        <v>127</v>
      </c>
      <c r="X151" s="36">
        <f t="shared" si="30"/>
        <v>4</v>
      </c>
      <c r="Y151" s="162" t="s">
        <v>79</v>
      </c>
      <c r="Z151" s="163" t="s">
        <v>127</v>
      </c>
      <c r="AA151" s="173">
        <v>0</v>
      </c>
      <c r="AB151" s="165">
        <f t="shared" si="31"/>
        <v>0</v>
      </c>
      <c r="AC151" s="166">
        <f t="shared" si="32"/>
        <v>0</v>
      </c>
    </row>
    <row r="152" spans="1:29" ht="15.75" thickBot="1" x14ac:dyDescent="0.3">
      <c r="A152" s="4" t="s">
        <v>80</v>
      </c>
      <c r="B152" s="74" t="s">
        <v>123</v>
      </c>
      <c r="C152" s="66" t="s">
        <v>123</v>
      </c>
      <c r="D152" s="70" t="s">
        <v>123</v>
      </c>
      <c r="E152" s="64" t="s">
        <v>123</v>
      </c>
      <c r="F152" s="70">
        <f>TRUNC(G152*AC152*(1-AA152)*IF(P152="Oui",1,0))</f>
        <v>0</v>
      </c>
      <c r="G152" s="71">
        <v>12</v>
      </c>
      <c r="H152" s="70">
        <f>TRUNC(I152*AC152*(1-AA152)*IF(Q152="Oui",1,0))</f>
        <v>0</v>
      </c>
      <c r="I152" s="71">
        <v>8</v>
      </c>
      <c r="J152" s="74">
        <f>TRUNC(K152*AC152*(1-AA152)*IF(R152="Oui",1,0))</f>
        <v>0</v>
      </c>
      <c r="K152" s="71">
        <v>16</v>
      </c>
      <c r="L152" s="74">
        <f>TRUNC(M152*AC152*(1-AA152)*IF(S152="Oui",1,0))</f>
        <v>0</v>
      </c>
      <c r="M152" s="60">
        <v>4</v>
      </c>
      <c r="N152" s="81" t="s">
        <v>123</v>
      </c>
      <c r="O152" s="81" t="s">
        <v>123</v>
      </c>
      <c r="P152" s="80" t="s">
        <v>127</v>
      </c>
      <c r="Q152" s="80" t="s">
        <v>127</v>
      </c>
      <c r="R152" s="80" t="s">
        <v>127</v>
      </c>
      <c r="S152" s="80" t="s">
        <v>127</v>
      </c>
      <c r="T152" s="49" t="s">
        <v>127</v>
      </c>
      <c r="U152" s="42" t="s">
        <v>127</v>
      </c>
      <c r="V152" s="42" t="s">
        <v>127</v>
      </c>
      <c r="W152" s="42" t="s">
        <v>127</v>
      </c>
      <c r="X152" s="36">
        <f t="shared" si="30"/>
        <v>4</v>
      </c>
      <c r="Y152" s="167" t="s">
        <v>61</v>
      </c>
      <c r="Z152" s="168" t="s">
        <v>127</v>
      </c>
      <c r="AA152" s="174">
        <v>0</v>
      </c>
      <c r="AB152" s="170">
        <f t="shared" si="31"/>
        <v>0</v>
      </c>
      <c r="AC152" s="171">
        <f t="shared" si="32"/>
        <v>0</v>
      </c>
    </row>
    <row r="153" spans="1:29" ht="15.75" thickBot="1" x14ac:dyDescent="0.3">
      <c r="A153" s="31" t="s">
        <v>85</v>
      </c>
      <c r="B153" s="102" t="s">
        <v>123</v>
      </c>
      <c r="C153" s="77" t="s">
        <v>123</v>
      </c>
      <c r="D153" s="76">
        <f>TRUNC(E153*AC153*(1-AA153)*IF(O153="Oui",1,0))</f>
        <v>0</v>
      </c>
      <c r="E153" s="77">
        <v>4</v>
      </c>
      <c r="F153" s="76">
        <f>TRUNC(G153*AC153*(1-AA153)*IF(P153="Oui",1,0))</f>
        <v>0</v>
      </c>
      <c r="G153" s="77">
        <v>16</v>
      </c>
      <c r="H153" s="76">
        <f>TRUNC(I153*AC153*(1-AA153)*IF(Q153="Oui",1,0))</f>
        <v>0</v>
      </c>
      <c r="I153" s="77">
        <v>8</v>
      </c>
      <c r="J153" s="76">
        <f>TRUNC(K153*AC153*(1-AA153)*IF(R153="Oui",1,0))</f>
        <v>0</v>
      </c>
      <c r="K153" s="77">
        <v>12</v>
      </c>
      <c r="L153" s="76" t="s">
        <v>123</v>
      </c>
      <c r="M153" s="58" t="s">
        <v>123</v>
      </c>
      <c r="N153" s="106" t="s">
        <v>123</v>
      </c>
      <c r="O153" s="46" t="s">
        <v>127</v>
      </c>
      <c r="P153" s="46" t="s">
        <v>246</v>
      </c>
      <c r="Q153" s="46" t="s">
        <v>246</v>
      </c>
      <c r="R153" s="46" t="s">
        <v>127</v>
      </c>
      <c r="S153" s="105" t="s">
        <v>123</v>
      </c>
      <c r="T153" s="48" t="s">
        <v>184</v>
      </c>
      <c r="U153" s="40" t="s">
        <v>184</v>
      </c>
      <c r="V153" s="40" t="s">
        <v>184</v>
      </c>
      <c r="W153" s="40" t="s">
        <v>246</v>
      </c>
      <c r="X153" s="35">
        <f t="shared" si="30"/>
        <v>4</v>
      </c>
      <c r="Y153" s="24" t="s">
        <v>85</v>
      </c>
      <c r="Z153" s="124" t="s">
        <v>127</v>
      </c>
      <c r="AA153" s="25">
        <v>0</v>
      </c>
      <c r="AB153" s="175">
        <f t="shared" si="31"/>
        <v>0</v>
      </c>
      <c r="AC153" s="87">
        <f t="shared" si="32"/>
        <v>0</v>
      </c>
    </row>
    <row r="154" spans="1:29" ht="15.75" thickBot="1" x14ac:dyDescent="0.3">
      <c r="A154" s="31" t="s">
        <v>104</v>
      </c>
      <c r="B154" s="250" t="str">
        <f>B$68</f>
        <v>Nourriture</v>
      </c>
      <c r="C154" s="251"/>
      <c r="D154" s="217" t="str">
        <f>D$68</f>
        <v>Bois</v>
      </c>
      <c r="E154" s="218"/>
      <c r="F154" s="217" t="str">
        <f>F$68</f>
        <v>Fer</v>
      </c>
      <c r="G154" s="218"/>
      <c r="H154" s="217" t="str">
        <f>H$68</f>
        <v>Cuir</v>
      </c>
      <c r="I154" s="218"/>
      <c r="J154" s="217" t="str">
        <f>J$68</f>
        <v>Pierre</v>
      </c>
      <c r="K154" s="218"/>
      <c r="L154" s="217" t="str">
        <f>L$68</f>
        <v>Gemmes</v>
      </c>
      <c r="M154" s="223"/>
      <c r="N154" s="94" t="s">
        <v>108</v>
      </c>
      <c r="O154" s="92" t="s">
        <v>109</v>
      </c>
      <c r="P154" s="92" t="s">
        <v>110</v>
      </c>
      <c r="Q154" s="92" t="s">
        <v>171</v>
      </c>
      <c r="R154" s="92" t="s">
        <v>172</v>
      </c>
      <c r="S154" s="104" t="s">
        <v>116</v>
      </c>
      <c r="T154" s="6" t="str">
        <f t="shared" ref="T154:W154" si="38">T$68</f>
        <v>Comptoir</v>
      </c>
      <c r="U154" s="6" t="str">
        <f t="shared" si="38"/>
        <v>Marché</v>
      </c>
      <c r="V154" s="6" t="str">
        <f t="shared" si="38"/>
        <v>Banque</v>
      </c>
      <c r="W154" s="6" t="str">
        <f t="shared" si="38"/>
        <v>Palais</v>
      </c>
      <c r="X154" s="26"/>
      <c r="Y154" s="3"/>
      <c r="Z154" s="3"/>
      <c r="AA154" s="3"/>
      <c r="AB154" s="90"/>
      <c r="AC154" s="51"/>
    </row>
    <row r="155" spans="1:29" x14ac:dyDescent="0.25">
      <c r="A155" s="4" t="s">
        <v>86</v>
      </c>
      <c r="B155" s="55"/>
      <c r="C155" s="63"/>
      <c r="D155" s="68"/>
      <c r="E155" s="69"/>
      <c r="F155" s="70"/>
      <c r="G155" s="69"/>
      <c r="H155" s="70"/>
      <c r="I155" s="69"/>
      <c r="J155" s="70"/>
      <c r="K155" s="69"/>
      <c r="L155" s="67"/>
      <c r="M155" s="56"/>
      <c r="N155" s="39" t="s">
        <v>123</v>
      </c>
      <c r="O155" s="39" t="s">
        <v>123</v>
      </c>
      <c r="P155" s="39" t="s">
        <v>123</v>
      </c>
      <c r="Q155" s="39" t="s">
        <v>123</v>
      </c>
      <c r="R155" s="39" t="s">
        <v>123</v>
      </c>
      <c r="S155" s="98" t="s">
        <v>123</v>
      </c>
      <c r="T155" s="97" t="s">
        <v>123</v>
      </c>
      <c r="U155" s="39" t="s">
        <v>123</v>
      </c>
      <c r="V155" s="39" t="s">
        <v>123</v>
      </c>
      <c r="W155" s="39" t="s">
        <v>123</v>
      </c>
      <c r="X155" s="22">
        <v>0</v>
      </c>
      <c r="Y155" s="21"/>
      <c r="Z155" s="122"/>
      <c r="AA155" s="20">
        <v>0</v>
      </c>
      <c r="AB155" s="88">
        <f t="shared" ref="AB155:AB160" si="39">(IF(T155="Oui",2000,0)+IF(U155="Oui",4000,0)+IF(V155="Oui",8000,0)+IF(W155="Oui",15000,5000))*AC155*(1-AA155)*(I$9+1)</f>
        <v>0</v>
      </c>
      <c r="AC155" s="86">
        <f t="shared" si="32"/>
        <v>0</v>
      </c>
    </row>
    <row r="156" spans="1:29" x14ac:dyDescent="0.25">
      <c r="A156" s="4" t="s">
        <v>87</v>
      </c>
      <c r="B156" s="57"/>
      <c r="C156" s="64"/>
      <c r="D156" s="70"/>
      <c r="E156" s="71"/>
      <c r="F156" s="70"/>
      <c r="G156" s="71"/>
      <c r="H156" s="70"/>
      <c r="I156" s="71"/>
      <c r="J156" s="70"/>
      <c r="K156" s="71"/>
      <c r="L156" s="67"/>
      <c r="M156" s="58"/>
      <c r="N156" s="39" t="s">
        <v>123</v>
      </c>
      <c r="O156" s="39" t="s">
        <v>123</v>
      </c>
      <c r="P156" s="39" t="s">
        <v>123</v>
      </c>
      <c r="Q156" s="39" t="s">
        <v>123</v>
      </c>
      <c r="R156" s="39" t="s">
        <v>123</v>
      </c>
      <c r="S156" s="99" t="s">
        <v>123</v>
      </c>
      <c r="T156" s="97" t="s">
        <v>123</v>
      </c>
      <c r="U156" s="39" t="s">
        <v>123</v>
      </c>
      <c r="V156" s="39" t="s">
        <v>123</v>
      </c>
      <c r="W156" s="39" t="s">
        <v>123</v>
      </c>
      <c r="X156" s="34">
        <v>0</v>
      </c>
      <c r="Y156" s="21"/>
      <c r="Z156" s="122"/>
      <c r="AA156" s="20">
        <v>0</v>
      </c>
      <c r="AB156" s="89">
        <f t="shared" si="39"/>
        <v>0</v>
      </c>
      <c r="AC156" s="86">
        <f t="shared" si="32"/>
        <v>0</v>
      </c>
    </row>
    <row r="157" spans="1:29" x14ac:dyDescent="0.25">
      <c r="A157" s="4" t="s">
        <v>88</v>
      </c>
      <c r="B157" s="57"/>
      <c r="C157" s="64"/>
      <c r="D157" s="70"/>
      <c r="E157" s="71"/>
      <c r="F157" s="70"/>
      <c r="G157" s="71"/>
      <c r="H157" s="70"/>
      <c r="I157" s="71"/>
      <c r="J157" s="70"/>
      <c r="K157" s="71"/>
      <c r="L157" s="67"/>
      <c r="M157" s="58"/>
      <c r="N157" s="39" t="s">
        <v>123</v>
      </c>
      <c r="O157" s="39" t="s">
        <v>123</v>
      </c>
      <c r="P157" s="39" t="s">
        <v>123</v>
      </c>
      <c r="Q157" s="39" t="s">
        <v>123</v>
      </c>
      <c r="R157" s="39" t="s">
        <v>123</v>
      </c>
      <c r="S157" s="99" t="s">
        <v>123</v>
      </c>
      <c r="T157" s="97" t="s">
        <v>123</v>
      </c>
      <c r="U157" s="39" t="s">
        <v>123</v>
      </c>
      <c r="V157" s="39" t="s">
        <v>123</v>
      </c>
      <c r="W157" s="39" t="s">
        <v>123</v>
      </c>
      <c r="X157" s="34">
        <v>0</v>
      </c>
      <c r="Y157" s="21"/>
      <c r="Z157" s="122"/>
      <c r="AA157" s="20">
        <v>0</v>
      </c>
      <c r="AB157" s="89">
        <f t="shared" si="39"/>
        <v>0</v>
      </c>
      <c r="AC157" s="86">
        <f t="shared" si="32"/>
        <v>0</v>
      </c>
    </row>
    <row r="158" spans="1:29" x14ac:dyDescent="0.25">
      <c r="A158" s="4" t="s">
        <v>89</v>
      </c>
      <c r="B158" s="57"/>
      <c r="C158" s="64"/>
      <c r="D158" s="70"/>
      <c r="E158" s="71"/>
      <c r="F158" s="70"/>
      <c r="G158" s="71"/>
      <c r="H158" s="70"/>
      <c r="I158" s="71"/>
      <c r="J158" s="70"/>
      <c r="K158" s="71"/>
      <c r="L158" s="67"/>
      <c r="M158" s="58"/>
      <c r="N158" s="39" t="s">
        <v>123</v>
      </c>
      <c r="O158" s="39" t="s">
        <v>123</v>
      </c>
      <c r="P158" s="39" t="s">
        <v>123</v>
      </c>
      <c r="Q158" s="39" t="s">
        <v>123</v>
      </c>
      <c r="R158" s="39" t="s">
        <v>123</v>
      </c>
      <c r="S158" s="99" t="s">
        <v>123</v>
      </c>
      <c r="T158" s="97" t="s">
        <v>123</v>
      </c>
      <c r="U158" s="39" t="s">
        <v>123</v>
      </c>
      <c r="V158" s="39" t="s">
        <v>123</v>
      </c>
      <c r="W158" s="39" t="s">
        <v>123</v>
      </c>
      <c r="X158" s="34">
        <v>0</v>
      </c>
      <c r="Y158" s="21"/>
      <c r="Z158" s="122"/>
      <c r="AA158" s="20">
        <v>0</v>
      </c>
      <c r="AB158" s="89">
        <f>(IF(T158="Oui",2000,0)+IF(U158="Oui",4000,0)+IF(V158="Oui",8000,0)+IF(W158="Oui",15000,5000))*AC158*(1-AA158)*(I$9+1)</f>
        <v>0</v>
      </c>
      <c r="AC158" s="86">
        <f t="shared" si="32"/>
        <v>0</v>
      </c>
    </row>
    <row r="159" spans="1:29" x14ac:dyDescent="0.25">
      <c r="A159" s="4" t="s">
        <v>90</v>
      </c>
      <c r="B159" s="57"/>
      <c r="C159" s="64"/>
      <c r="D159" s="70"/>
      <c r="E159" s="71"/>
      <c r="F159" s="70"/>
      <c r="G159" s="71"/>
      <c r="H159" s="70"/>
      <c r="I159" s="71"/>
      <c r="J159" s="70"/>
      <c r="K159" s="71"/>
      <c r="L159" s="67"/>
      <c r="M159" s="58"/>
      <c r="N159" s="39" t="s">
        <v>123</v>
      </c>
      <c r="O159" s="39" t="s">
        <v>123</v>
      </c>
      <c r="P159" s="39" t="s">
        <v>123</v>
      </c>
      <c r="Q159" s="39" t="s">
        <v>123</v>
      </c>
      <c r="R159" s="39" t="s">
        <v>123</v>
      </c>
      <c r="S159" s="99" t="s">
        <v>123</v>
      </c>
      <c r="T159" s="97" t="s">
        <v>123</v>
      </c>
      <c r="U159" s="39" t="s">
        <v>123</v>
      </c>
      <c r="V159" s="39" t="s">
        <v>123</v>
      </c>
      <c r="W159" s="39" t="s">
        <v>123</v>
      </c>
      <c r="X159" s="34">
        <v>0</v>
      </c>
      <c r="Y159" s="21"/>
      <c r="Z159" s="122"/>
      <c r="AA159" s="20">
        <v>0</v>
      </c>
      <c r="AB159" s="89">
        <f t="shared" si="39"/>
        <v>0</v>
      </c>
      <c r="AC159" s="86">
        <f t="shared" si="32"/>
        <v>0</v>
      </c>
    </row>
    <row r="160" spans="1:29" ht="15.75" thickBot="1" x14ac:dyDescent="0.3">
      <c r="A160" s="5" t="s">
        <v>91</v>
      </c>
      <c r="B160" s="61"/>
      <c r="C160" s="66"/>
      <c r="D160" s="74"/>
      <c r="E160" s="75"/>
      <c r="F160" s="70"/>
      <c r="G160" s="75"/>
      <c r="H160" s="70"/>
      <c r="I160" s="75"/>
      <c r="J160" s="70"/>
      <c r="K160" s="75"/>
      <c r="L160" s="67"/>
      <c r="M160" s="62"/>
      <c r="N160" s="39" t="s">
        <v>123</v>
      </c>
      <c r="O160" s="39" t="s">
        <v>123</v>
      </c>
      <c r="P160" s="39" t="s">
        <v>123</v>
      </c>
      <c r="Q160" s="39" t="s">
        <v>123</v>
      </c>
      <c r="R160" s="39" t="s">
        <v>123</v>
      </c>
      <c r="S160" s="100" t="s">
        <v>123</v>
      </c>
      <c r="T160" s="97" t="s">
        <v>123</v>
      </c>
      <c r="U160" s="39" t="s">
        <v>123</v>
      </c>
      <c r="V160" s="39" t="s">
        <v>123</v>
      </c>
      <c r="W160" s="39" t="s">
        <v>123</v>
      </c>
      <c r="X160" s="34">
        <v>0</v>
      </c>
      <c r="Y160" s="21"/>
      <c r="Z160" s="122"/>
      <c r="AA160" s="20">
        <v>0</v>
      </c>
      <c r="AB160" s="89">
        <f t="shared" si="39"/>
        <v>0</v>
      </c>
      <c r="AC160" s="86">
        <f t="shared" si="32"/>
        <v>0</v>
      </c>
    </row>
    <row r="161" spans="1:29" ht="15.75" thickBot="1" x14ac:dyDescent="0.3">
      <c r="A161" s="32" t="s">
        <v>100</v>
      </c>
      <c r="B161" s="27">
        <f t="shared" ref="B161:M161" si="40">SUM(B69:B160)</f>
        <v>64</v>
      </c>
      <c r="C161" s="52">
        <f t="shared" si="40"/>
        <v>516</v>
      </c>
      <c r="D161" s="78">
        <f t="shared" si="40"/>
        <v>28</v>
      </c>
      <c r="E161" s="79">
        <f t="shared" si="40"/>
        <v>516</v>
      </c>
      <c r="F161" s="78">
        <f t="shared" si="40"/>
        <v>32</v>
      </c>
      <c r="G161" s="79">
        <f t="shared" si="40"/>
        <v>512</v>
      </c>
      <c r="H161" s="78">
        <f>SUM(H69:H160)</f>
        <v>0</v>
      </c>
      <c r="I161" s="79">
        <f>SUM(I69:I160)</f>
        <v>520</v>
      </c>
      <c r="J161" s="78">
        <f t="shared" ref="J161:K161" si="41">SUM(J69:J160)</f>
        <v>24</v>
      </c>
      <c r="K161" s="79">
        <f t="shared" si="41"/>
        <v>520</v>
      </c>
      <c r="L161" s="54">
        <f t="shared" si="40"/>
        <v>12</v>
      </c>
      <c r="M161" s="53">
        <f t="shared" si="40"/>
        <v>456</v>
      </c>
      <c r="N161" s="29"/>
      <c r="O161" s="93"/>
      <c r="P161" s="93"/>
      <c r="Q161" s="29"/>
      <c r="R161" s="29"/>
      <c r="S161" s="47"/>
      <c r="T161" s="29"/>
      <c r="U161" s="29"/>
      <c r="V161" s="29"/>
      <c r="W161" s="29"/>
      <c r="X161" s="27"/>
      <c r="Y161" s="18"/>
      <c r="Z161" s="18"/>
      <c r="AA161" s="18"/>
      <c r="AB161" s="91">
        <f>SUM(AB69:AB160)</f>
        <v>87500</v>
      </c>
      <c r="AC161" s="18"/>
    </row>
    <row r="163" spans="1:29" x14ac:dyDescent="0.25">
      <c r="A163" t="s">
        <v>206</v>
      </c>
      <c r="E163" s="113" t="s">
        <v>195</v>
      </c>
      <c r="F163" s="113"/>
      <c r="G163" s="113"/>
      <c r="H163" s="120">
        <f>H165</f>
        <v>9</v>
      </c>
      <c r="I163" s="113">
        <f>SMALL(J163:Q163, 1)</f>
        <v>0</v>
      </c>
      <c r="J163" s="215">
        <f>TRUNC((J18/3),0)</f>
        <v>21</v>
      </c>
      <c r="K163" s="216"/>
      <c r="L163" s="215">
        <f>TRUNC((L18/3),0)</f>
        <v>9</v>
      </c>
      <c r="M163" s="216"/>
      <c r="N163" s="111">
        <f>TRUNC((N18/3),0)</f>
        <v>8</v>
      </c>
      <c r="O163" s="111">
        <f>TRUNC((O18/3),0)</f>
        <v>0</v>
      </c>
      <c r="P163" s="111">
        <f>TRUNC((P18/3),0)</f>
        <v>0</v>
      </c>
      <c r="Q163" s="111">
        <f>TRUNC((Q18/3),0)</f>
        <v>4</v>
      </c>
    </row>
    <row r="164" spans="1:29" x14ac:dyDescent="0.25">
      <c r="A164" t="s">
        <v>18</v>
      </c>
      <c r="E164" t="s">
        <v>97</v>
      </c>
      <c r="J164" t="s">
        <v>197</v>
      </c>
      <c r="N164">
        <f>ROUNDUP((P37/5),0)</f>
        <v>60</v>
      </c>
      <c r="O164" s="114">
        <f>J18-J19</f>
        <v>64</v>
      </c>
      <c r="P164">
        <f>SMALL(N164:O164,1)</f>
        <v>60</v>
      </c>
    </row>
    <row r="165" spans="1:29" x14ac:dyDescent="0.25">
      <c r="A165" t="s">
        <v>19</v>
      </c>
      <c r="B165" s="19">
        <v>0</v>
      </c>
      <c r="C165" t="s">
        <v>145</v>
      </c>
      <c r="E165" t="s">
        <v>98</v>
      </c>
      <c r="H165">
        <f>IF(G6=A164,COUNTIF(Y69:Y153,A164),IF(G6=A165,COUNTIF(Y69:Y153,A165),IF(G6=A166,COUNTIF(Y69:Y153,A166),IF(G6=A167,COUNTIF(Y69:Y153,A167),IF(G6=A168,COUNTIF(Y69:Y153,A168),IF(G6=A169,COUNTIF(Y69:Y153,A169),IF(G6=A170,COUNTIF(Y69:Y153,A170),IF(G6=A171,COUNTIF(Y69:Y153,A171),IF(G6=A172,COUNTIF(Y69:Y153,A172),IF(G6=A173,COUNTIF(Y69:Y153,A173),IF(G6=A174,COUNTIF(Y69:Y153,A174),"Province ?")))))))))))</f>
        <v>9</v>
      </c>
      <c r="J165" t="s">
        <v>198</v>
      </c>
      <c r="N165">
        <f>ROUNDUP((P37/15),0)</f>
        <v>20</v>
      </c>
    </row>
    <row r="166" spans="1:29" x14ac:dyDescent="0.25">
      <c r="A166" t="s">
        <v>20</v>
      </c>
      <c r="B166" s="19">
        <v>0.05</v>
      </c>
      <c r="C166" t="s">
        <v>146</v>
      </c>
      <c r="E166" t="s">
        <v>105</v>
      </c>
      <c r="H166">
        <f>COUNTIF(Y155:Y160,"Possédée")+COUNTIF(Y155:Y160,"Assiégée")</f>
        <v>0</v>
      </c>
      <c r="J166" t="s">
        <v>200</v>
      </c>
      <c r="N166">
        <f>IF(J20&lt;N165,1500*J20,P37*100)</f>
        <v>30000</v>
      </c>
    </row>
    <row r="167" spans="1:29" x14ac:dyDescent="0.25">
      <c r="A167" t="s">
        <v>29</v>
      </c>
      <c r="B167" s="19">
        <v>0.1</v>
      </c>
      <c r="C167" t="s">
        <v>147</v>
      </c>
      <c r="E167" s="12" t="s">
        <v>106</v>
      </c>
      <c r="H167">
        <f>H165+H166</f>
        <v>9</v>
      </c>
      <c r="J167" t="s">
        <v>230</v>
      </c>
      <c r="N167">
        <f>IF(AND(J20&lt;N164,J20&gt;N165),N166+750*(J20-N165),0)</f>
        <v>0</v>
      </c>
    </row>
    <row r="168" spans="1:29" x14ac:dyDescent="0.25">
      <c r="A168" t="s">
        <v>36</v>
      </c>
      <c r="B168" s="19">
        <v>0.15</v>
      </c>
      <c r="C168" t="s">
        <v>148</v>
      </c>
      <c r="E168" t="s">
        <v>99</v>
      </c>
      <c r="H168">
        <f>COUNTIF(Y69:Y161,"Assiégée")</f>
        <v>0</v>
      </c>
      <c r="J168" t="s">
        <v>199</v>
      </c>
      <c r="N168">
        <f>IF(J20&lt;N164,1000*J20,P37*200)</f>
        <v>60000</v>
      </c>
    </row>
    <row r="169" spans="1:29" x14ac:dyDescent="0.25">
      <c r="A169" t="s">
        <v>43</v>
      </c>
      <c r="B169" s="19">
        <v>0.2</v>
      </c>
      <c r="C169" t="s">
        <v>149</v>
      </c>
      <c r="E169" s="8" t="s">
        <v>326</v>
      </c>
      <c r="J169" t="s">
        <v>201</v>
      </c>
      <c r="N169">
        <f>LARGE(N166:N168, 1)</f>
        <v>60000</v>
      </c>
    </row>
    <row r="170" spans="1:29" x14ac:dyDescent="0.25">
      <c r="A170" t="s">
        <v>52</v>
      </c>
      <c r="B170" s="19">
        <v>0.25</v>
      </c>
      <c r="C170" t="s">
        <v>150</v>
      </c>
      <c r="E170" t="s">
        <v>18</v>
      </c>
      <c r="H170">
        <f>COUNTIF(Y$69:Y$153,A164)</f>
        <v>8</v>
      </c>
      <c r="J170" t="s">
        <v>203</v>
      </c>
      <c r="N170" s="114">
        <f>SMALL(H163:I163,1)</f>
        <v>0</v>
      </c>
    </row>
    <row r="171" spans="1:29" x14ac:dyDescent="0.25">
      <c r="A171" t="s">
        <v>61</v>
      </c>
      <c r="B171" s="19">
        <v>0.3</v>
      </c>
      <c r="C171" t="s">
        <v>151</v>
      </c>
      <c r="E171" t="s">
        <v>19</v>
      </c>
      <c r="H171">
        <f t="shared" ref="H171:H180" si="42">COUNTIF(Y$69:Y$153,A165)</f>
        <v>9</v>
      </c>
    </row>
    <row r="172" spans="1:29" x14ac:dyDescent="0.25">
      <c r="A172" t="s">
        <v>85</v>
      </c>
      <c r="B172" s="19">
        <v>0.35</v>
      </c>
      <c r="C172" t="s">
        <v>153</v>
      </c>
      <c r="E172" t="s">
        <v>20</v>
      </c>
      <c r="H172">
        <f t="shared" si="42"/>
        <v>9</v>
      </c>
    </row>
    <row r="173" spans="1:29" x14ac:dyDescent="0.25">
      <c r="A173" t="s">
        <v>79</v>
      </c>
      <c r="B173" s="19">
        <v>0.4</v>
      </c>
      <c r="C173" t="s">
        <v>152</v>
      </c>
      <c r="E173" t="s">
        <v>29</v>
      </c>
      <c r="H173">
        <f t="shared" si="42"/>
        <v>7</v>
      </c>
    </row>
    <row r="174" spans="1:29" x14ac:dyDescent="0.25">
      <c r="A174" t="s">
        <v>70</v>
      </c>
      <c r="B174" s="19">
        <v>0.45</v>
      </c>
      <c r="C174" t="s">
        <v>154</v>
      </c>
      <c r="E174" t="s">
        <v>36</v>
      </c>
      <c r="H174">
        <f t="shared" si="42"/>
        <v>7</v>
      </c>
    </row>
    <row r="175" spans="1:29" x14ac:dyDescent="0.25">
      <c r="B175" s="19">
        <v>0.5</v>
      </c>
      <c r="C175" t="s">
        <v>155</v>
      </c>
      <c r="E175" t="s">
        <v>43</v>
      </c>
      <c r="H175">
        <f t="shared" si="42"/>
        <v>8</v>
      </c>
    </row>
    <row r="176" spans="1:29" x14ac:dyDescent="0.25">
      <c r="B176" s="19">
        <v>0.55000000000000004</v>
      </c>
      <c r="C176" t="s">
        <v>156</v>
      </c>
      <c r="E176" t="s">
        <v>52</v>
      </c>
      <c r="H176">
        <f t="shared" si="42"/>
        <v>8</v>
      </c>
    </row>
    <row r="177" spans="2:8" x14ac:dyDescent="0.25">
      <c r="B177" s="19">
        <v>0.6</v>
      </c>
      <c r="C177" t="s">
        <v>157</v>
      </c>
      <c r="E177" t="s">
        <v>61</v>
      </c>
      <c r="H177">
        <f t="shared" si="42"/>
        <v>9</v>
      </c>
    </row>
    <row r="178" spans="2:8" x14ac:dyDescent="0.25">
      <c r="B178" s="19">
        <v>0.65</v>
      </c>
      <c r="C178" t="s">
        <v>158</v>
      </c>
      <c r="E178" t="s">
        <v>85</v>
      </c>
      <c r="H178">
        <f t="shared" si="42"/>
        <v>1</v>
      </c>
    </row>
    <row r="179" spans="2:8" x14ac:dyDescent="0.25">
      <c r="B179" s="19">
        <v>0.7</v>
      </c>
      <c r="C179" t="s">
        <v>159</v>
      </c>
      <c r="E179" t="s">
        <v>79</v>
      </c>
      <c r="H179">
        <f t="shared" si="42"/>
        <v>2</v>
      </c>
    </row>
    <row r="180" spans="2:8" x14ac:dyDescent="0.25">
      <c r="B180" s="19">
        <v>0.75</v>
      </c>
      <c r="C180" t="s">
        <v>160</v>
      </c>
      <c r="E180" t="s">
        <v>70</v>
      </c>
      <c r="H180">
        <f t="shared" si="42"/>
        <v>8</v>
      </c>
    </row>
    <row r="181" spans="2:8" x14ac:dyDescent="0.25">
      <c r="B181" s="19">
        <v>0.8</v>
      </c>
      <c r="C181" t="s">
        <v>161</v>
      </c>
    </row>
    <row r="182" spans="2:8" x14ac:dyDescent="0.25">
      <c r="B182" s="19">
        <v>0.85</v>
      </c>
      <c r="C182" t="s">
        <v>162</v>
      </c>
    </row>
    <row r="183" spans="2:8" x14ac:dyDescent="0.25">
      <c r="B183" s="19">
        <v>0.9</v>
      </c>
      <c r="C183" t="s">
        <v>163</v>
      </c>
    </row>
    <row r="184" spans="2:8" x14ac:dyDescent="0.25">
      <c r="B184" s="19">
        <v>0.95</v>
      </c>
      <c r="C184" t="s">
        <v>164</v>
      </c>
    </row>
    <row r="185" spans="2:8" x14ac:dyDescent="0.25">
      <c r="B185" s="19">
        <v>1</v>
      </c>
      <c r="C185" t="s">
        <v>165</v>
      </c>
    </row>
    <row r="186" spans="2:8" x14ac:dyDescent="0.25">
      <c r="C186" t="s">
        <v>166</v>
      </c>
    </row>
    <row r="187" spans="2:8" x14ac:dyDescent="0.25">
      <c r="C187" t="s">
        <v>167</v>
      </c>
    </row>
    <row r="188" spans="2:8" x14ac:dyDescent="0.25">
      <c r="C188" t="s">
        <v>168</v>
      </c>
    </row>
    <row r="189" spans="2:8" x14ac:dyDescent="0.25">
      <c r="C189" t="s">
        <v>211</v>
      </c>
    </row>
    <row r="190" spans="2:8" x14ac:dyDescent="0.25">
      <c r="C190" t="s">
        <v>212</v>
      </c>
    </row>
  </sheetData>
  <mergeCells count="175">
    <mergeCell ref="I53:O53"/>
    <mergeCell ref="I54:O54"/>
    <mergeCell ref="I55:O55"/>
    <mergeCell ref="I56:O56"/>
    <mergeCell ref="I57:O57"/>
    <mergeCell ref="I58:O58"/>
    <mergeCell ref="I59:O59"/>
    <mergeCell ref="I60:O60"/>
    <mergeCell ref="I61:O61"/>
    <mergeCell ref="U8:W8"/>
    <mergeCell ref="X8:Y8"/>
    <mergeCell ref="S9:T9"/>
    <mergeCell ref="U9:W9"/>
    <mergeCell ref="X9:Y9"/>
    <mergeCell ref="S10:T10"/>
    <mergeCell ref="U10:W10"/>
    <mergeCell ref="X10:Y10"/>
    <mergeCell ref="H86:I86"/>
    <mergeCell ref="J13:K13"/>
    <mergeCell ref="J19:K19"/>
    <mergeCell ref="J68:K68"/>
    <mergeCell ref="J77:K77"/>
    <mergeCell ref="I28:O28"/>
    <mergeCell ref="I29:O29"/>
    <mergeCell ref="B22:I22"/>
    <mergeCell ref="I45:O45"/>
    <mergeCell ref="I46:O46"/>
    <mergeCell ref="I47:O47"/>
    <mergeCell ref="I48:O48"/>
    <mergeCell ref="I49:O49"/>
    <mergeCell ref="I50:O50"/>
    <mergeCell ref="I51:O51"/>
    <mergeCell ref="I52:O52"/>
    <mergeCell ref="H96:I96"/>
    <mergeCell ref="B86:C86"/>
    <mergeCell ref="D86:E86"/>
    <mergeCell ref="F86:G86"/>
    <mergeCell ref="B96:C96"/>
    <mergeCell ref="D96:E96"/>
    <mergeCell ref="F96:G96"/>
    <mergeCell ref="J96:K96"/>
    <mergeCell ref="D113:E113"/>
    <mergeCell ref="F113:G113"/>
    <mergeCell ref="H104:I104"/>
    <mergeCell ref="H113:I113"/>
    <mergeCell ref="J86:K86"/>
    <mergeCell ref="J104:K104"/>
    <mergeCell ref="G7:H7"/>
    <mergeCell ref="B77:C77"/>
    <mergeCell ref="D77:E77"/>
    <mergeCell ref="F77:G77"/>
    <mergeCell ref="H77:I77"/>
    <mergeCell ref="B68:C68"/>
    <mergeCell ref="B15:I15"/>
    <mergeCell ref="B19:I19"/>
    <mergeCell ref="B20:I20"/>
    <mergeCell ref="D68:E68"/>
    <mergeCell ref="F68:G68"/>
    <mergeCell ref="H68:I68"/>
    <mergeCell ref="I34:O34"/>
    <mergeCell ref="I35:O35"/>
    <mergeCell ref="I36:O36"/>
    <mergeCell ref="I37:O37"/>
    <mergeCell ref="I38:O38"/>
    <mergeCell ref="I39:O39"/>
    <mergeCell ref="I40:O40"/>
    <mergeCell ref="I41:O41"/>
    <mergeCell ref="B16:I16"/>
    <mergeCell ref="B21:I21"/>
    <mergeCell ref="L19:M19"/>
    <mergeCell ref="J23:K23"/>
    <mergeCell ref="B154:C154"/>
    <mergeCell ref="D154:E154"/>
    <mergeCell ref="F154:G154"/>
    <mergeCell ref="B140:C140"/>
    <mergeCell ref="D140:E140"/>
    <mergeCell ref="F140:G140"/>
    <mergeCell ref="B149:C149"/>
    <mergeCell ref="D149:E149"/>
    <mergeCell ref="F149:G149"/>
    <mergeCell ref="H122:I122"/>
    <mergeCell ref="B131:C131"/>
    <mergeCell ref="D131:E131"/>
    <mergeCell ref="F131:G131"/>
    <mergeCell ref="H131:I131"/>
    <mergeCell ref="B104:C104"/>
    <mergeCell ref="D104:E104"/>
    <mergeCell ref="F104:G104"/>
    <mergeCell ref="B113:C113"/>
    <mergeCell ref="AC67:AC68"/>
    <mergeCell ref="Y66:AA66"/>
    <mergeCell ref="AB66:AC66"/>
    <mergeCell ref="X2:Y2"/>
    <mergeCell ref="U7:W7"/>
    <mergeCell ref="X3:Y3"/>
    <mergeCell ref="X4:Y4"/>
    <mergeCell ref="X5:Y5"/>
    <mergeCell ref="X6:Y6"/>
    <mergeCell ref="X7:Y7"/>
    <mergeCell ref="U3:W3"/>
    <mergeCell ref="U4:W4"/>
    <mergeCell ref="U5:W5"/>
    <mergeCell ref="U6:W6"/>
    <mergeCell ref="U2:W2"/>
    <mergeCell ref="X67:X68"/>
    <mergeCell ref="N66:W66"/>
    <mergeCell ref="I42:O42"/>
    <mergeCell ref="I30:O30"/>
    <mergeCell ref="I31:O31"/>
    <mergeCell ref="I32:O32"/>
    <mergeCell ref="I33:O33"/>
    <mergeCell ref="I26:O26"/>
    <mergeCell ref="I27:O27"/>
    <mergeCell ref="H140:I140"/>
    <mergeCell ref="S2:T2"/>
    <mergeCell ref="B23:I23"/>
    <mergeCell ref="J12:K12"/>
    <mergeCell ref="J15:K15"/>
    <mergeCell ref="J16:K16"/>
    <mergeCell ref="J18:K18"/>
    <mergeCell ref="G6:L6"/>
    <mergeCell ref="B18:I18"/>
    <mergeCell ref="L13:M13"/>
    <mergeCell ref="L18:M18"/>
    <mergeCell ref="B13:I13"/>
    <mergeCell ref="T67:W67"/>
    <mergeCell ref="B122:C122"/>
    <mergeCell ref="D122:E122"/>
    <mergeCell ref="F122:G122"/>
    <mergeCell ref="J20:K20"/>
    <mergeCell ref="B66:M66"/>
    <mergeCell ref="B67:M67"/>
    <mergeCell ref="L68:M68"/>
    <mergeCell ref="N67:S67"/>
    <mergeCell ref="L12:M12"/>
    <mergeCell ref="L15:M15"/>
    <mergeCell ref="L16:M16"/>
    <mergeCell ref="S3:T3"/>
    <mergeCell ref="S4:T4"/>
    <mergeCell ref="S5:T5"/>
    <mergeCell ref="S6:T6"/>
    <mergeCell ref="S7:T7"/>
    <mergeCell ref="J17:O17"/>
    <mergeCell ref="J21:K21"/>
    <mergeCell ref="L21:M21"/>
    <mergeCell ref="L23:M23"/>
    <mergeCell ref="P11:Q11"/>
    <mergeCell ref="J11:N11"/>
    <mergeCell ref="J22:K22"/>
    <mergeCell ref="L22:M22"/>
    <mergeCell ref="S8:T8"/>
    <mergeCell ref="J163:K163"/>
    <mergeCell ref="J113:K113"/>
    <mergeCell ref="J122:K122"/>
    <mergeCell ref="J131:K131"/>
    <mergeCell ref="L163:M163"/>
    <mergeCell ref="B17:I17"/>
    <mergeCell ref="B14:I14"/>
    <mergeCell ref="J14:K14"/>
    <mergeCell ref="L14:M14"/>
    <mergeCell ref="L140:M140"/>
    <mergeCell ref="L149:M149"/>
    <mergeCell ref="L154:M154"/>
    <mergeCell ref="H149:I149"/>
    <mergeCell ref="H154:I154"/>
    <mergeCell ref="J140:K140"/>
    <mergeCell ref="J149:K149"/>
    <mergeCell ref="J154:K154"/>
    <mergeCell ref="L122:M122"/>
    <mergeCell ref="L131:M131"/>
    <mergeCell ref="L77:M77"/>
    <mergeCell ref="L86:M86"/>
    <mergeCell ref="L96:M96"/>
    <mergeCell ref="L104:M104"/>
    <mergeCell ref="L113:M113"/>
  </mergeCells>
  <conditionalFormatting sqref="AA69:AA76">
    <cfRule type="cellIs" dxfId="170" priority="234" operator="greaterThan">
      <formula>0</formula>
    </cfRule>
  </conditionalFormatting>
  <conditionalFormatting sqref="AA78:AA85">
    <cfRule type="cellIs" dxfId="169" priority="230" operator="greaterThan">
      <formula>0</formula>
    </cfRule>
  </conditionalFormatting>
  <conditionalFormatting sqref="AA89:AA95">
    <cfRule type="cellIs" dxfId="168" priority="222" operator="greaterThan">
      <formula>0</formula>
    </cfRule>
  </conditionalFormatting>
  <conditionalFormatting sqref="AA87:AA88">
    <cfRule type="cellIs" dxfId="167" priority="218" operator="greaterThan">
      <formula>0</formula>
    </cfRule>
  </conditionalFormatting>
  <conditionalFormatting sqref="AA97:AA103">
    <cfRule type="cellIs" dxfId="166" priority="214" operator="greaterThan">
      <formula>0</formula>
    </cfRule>
  </conditionalFormatting>
  <conditionalFormatting sqref="AA105:AA112">
    <cfRule type="cellIs" dxfId="165" priority="210" operator="greaterThan">
      <formula>0</formula>
    </cfRule>
  </conditionalFormatting>
  <conditionalFormatting sqref="Z156">
    <cfRule type="containsText" dxfId="164" priority="171" operator="containsText" text="Non Possédée">
      <formula>NOT(ISERROR(SEARCH("Non Possédée",Z156)))</formula>
    </cfRule>
    <cfRule type="containsText" dxfId="163" priority="172" operator="containsText" text="Assiégée">
      <formula>NOT(ISERROR(SEARCH("Assiégée",Z156)))</formula>
    </cfRule>
    <cfRule type="containsText" dxfId="162" priority="173" operator="containsText" text="Possédée">
      <formula>NOT(ISERROR(SEARCH("Possédée",Z156)))</formula>
    </cfRule>
  </conditionalFormatting>
  <conditionalFormatting sqref="AA114:AA121">
    <cfRule type="cellIs" dxfId="161" priority="206" operator="greaterThan">
      <formula>0</formula>
    </cfRule>
  </conditionalFormatting>
  <conditionalFormatting sqref="AA123:AA130">
    <cfRule type="cellIs" dxfId="160" priority="202" operator="greaterThan">
      <formula>0</formula>
    </cfRule>
  </conditionalFormatting>
  <conditionalFormatting sqref="AA132:AA139">
    <cfRule type="cellIs" dxfId="159" priority="198" operator="greaterThan">
      <formula>0</formula>
    </cfRule>
  </conditionalFormatting>
  <conditionalFormatting sqref="AA141:AA148">
    <cfRule type="cellIs" dxfId="158" priority="194" operator="greaterThan">
      <formula>0</formula>
    </cfRule>
  </conditionalFormatting>
  <conditionalFormatting sqref="AA150">
    <cfRule type="cellIs" dxfId="157" priority="190" operator="greaterThan">
      <formula>0</formula>
    </cfRule>
  </conditionalFormatting>
  <conditionalFormatting sqref="AA151">
    <cfRule type="cellIs" dxfId="156" priority="186" operator="greaterThan">
      <formula>0</formula>
    </cfRule>
  </conditionalFormatting>
  <conditionalFormatting sqref="AA152">
    <cfRule type="cellIs" dxfId="155" priority="182" operator="greaterThan">
      <formula>0</formula>
    </cfRule>
  </conditionalFormatting>
  <conditionalFormatting sqref="AA153">
    <cfRule type="cellIs" dxfId="154" priority="178" operator="greaterThan">
      <formula>0</formula>
    </cfRule>
  </conditionalFormatting>
  <conditionalFormatting sqref="Z155">
    <cfRule type="containsText" dxfId="153" priority="175" operator="containsText" text="Non Possédée">
      <formula>NOT(ISERROR(SEARCH("Non Possédée",Z155)))</formula>
    </cfRule>
    <cfRule type="containsText" dxfId="152" priority="176" operator="containsText" text="Assiégée">
      <formula>NOT(ISERROR(SEARCH("Assiégée",Z155)))</formula>
    </cfRule>
    <cfRule type="containsText" dxfId="151" priority="177" operator="containsText" text="Possédée">
      <formula>NOT(ISERROR(SEARCH("Possédée",Z155)))</formula>
    </cfRule>
  </conditionalFormatting>
  <conditionalFormatting sqref="AA155">
    <cfRule type="cellIs" dxfId="150" priority="174" operator="greaterThan">
      <formula>0</formula>
    </cfRule>
  </conditionalFormatting>
  <conditionalFormatting sqref="AA156">
    <cfRule type="cellIs" dxfId="149" priority="170" operator="greaterThan">
      <formula>0</formula>
    </cfRule>
  </conditionalFormatting>
  <conditionalFormatting sqref="Z157">
    <cfRule type="containsText" dxfId="148" priority="167" operator="containsText" text="Non Possédée">
      <formula>NOT(ISERROR(SEARCH("Non Possédée",Z157)))</formula>
    </cfRule>
    <cfRule type="containsText" dxfId="147" priority="168" operator="containsText" text="Assiégée">
      <formula>NOT(ISERROR(SEARCH("Assiégée",Z157)))</formula>
    </cfRule>
    <cfRule type="containsText" dxfId="146" priority="169" operator="containsText" text="Possédée">
      <formula>NOT(ISERROR(SEARCH("Possédée",Z157)))</formula>
    </cfRule>
  </conditionalFormatting>
  <conditionalFormatting sqref="AA157">
    <cfRule type="cellIs" dxfId="145" priority="166" operator="greaterThan">
      <formula>0</formula>
    </cfRule>
  </conditionalFormatting>
  <conditionalFormatting sqref="Z159">
    <cfRule type="containsText" dxfId="144" priority="163" operator="containsText" text="Non Possédée">
      <formula>NOT(ISERROR(SEARCH("Non Possédée",Z159)))</formula>
    </cfRule>
    <cfRule type="containsText" dxfId="143" priority="164" operator="containsText" text="Assiégée">
      <formula>NOT(ISERROR(SEARCH("Assiégée",Z159)))</formula>
    </cfRule>
    <cfRule type="containsText" dxfId="142" priority="165" operator="containsText" text="Possédée">
      <formula>NOT(ISERROR(SEARCH("Possédée",Z159)))</formula>
    </cfRule>
  </conditionalFormatting>
  <conditionalFormatting sqref="AA159">
    <cfRule type="cellIs" dxfId="141" priority="162" operator="greaterThan">
      <formula>0</formula>
    </cfRule>
  </conditionalFormatting>
  <conditionalFormatting sqref="Z158">
    <cfRule type="containsText" dxfId="140" priority="159" operator="containsText" text="Non Possédée">
      <formula>NOT(ISERROR(SEARCH("Non Possédée",Z158)))</formula>
    </cfRule>
    <cfRule type="containsText" dxfId="139" priority="160" operator="containsText" text="Assiégée">
      <formula>NOT(ISERROR(SEARCH("Assiégée",Z158)))</formula>
    </cfRule>
    <cfRule type="containsText" dxfId="138" priority="161" operator="containsText" text="Possédée">
      <formula>NOT(ISERROR(SEARCH("Possédée",Z158)))</formula>
    </cfRule>
  </conditionalFormatting>
  <conditionalFormatting sqref="AA158">
    <cfRule type="cellIs" dxfId="137" priority="158" operator="greaterThan">
      <formula>0</formula>
    </cfRule>
  </conditionalFormatting>
  <conditionalFormatting sqref="Z160">
    <cfRule type="containsText" dxfId="136" priority="151" operator="containsText" text="Non Possédée">
      <formula>NOT(ISERROR(SEARCH("Non Possédée",Z160)))</formula>
    </cfRule>
    <cfRule type="containsText" dxfId="135" priority="152" operator="containsText" text="Assiégée">
      <formula>NOT(ISERROR(SEARCH("Assiégée",Z160)))</formula>
    </cfRule>
    <cfRule type="containsText" dxfId="134" priority="153" operator="containsText" text="Possédée">
      <formula>NOT(ISERROR(SEARCH("Possédée",Z160)))</formula>
    </cfRule>
  </conditionalFormatting>
  <conditionalFormatting sqref="AA160">
    <cfRule type="cellIs" dxfId="133" priority="150" operator="greaterThan">
      <formula>0</formula>
    </cfRule>
  </conditionalFormatting>
  <conditionalFormatting sqref="T77:W154 N87:P87 N155:W160 N69:W76 N78:W85 N97:W103 N105:W112 N123:W130 N141:W148 N132:W139 N114:W121 N150:W153 R87:W95 N88:Q95">
    <cfRule type="containsText" dxfId="132" priority="148" operator="containsText" text="Non">
      <formula>NOT(ISERROR(SEARCH("Non",N69)))</formula>
    </cfRule>
    <cfRule type="containsText" dxfId="131" priority="149" operator="containsText" text="Oui">
      <formula>NOT(ISERROR(SEARCH("Oui",N69)))</formula>
    </cfRule>
  </conditionalFormatting>
  <conditionalFormatting sqref="Z95">
    <cfRule type="containsText" dxfId="130" priority="139" operator="containsText" text="Non Possédée">
      <formula>NOT(ISERROR(SEARCH("Non Possédée",Z95)))</formula>
    </cfRule>
    <cfRule type="containsText" dxfId="129" priority="140" operator="containsText" text="Assiégée">
      <formula>NOT(ISERROR(SEARCH("Assiégée",Z95)))</formula>
    </cfRule>
    <cfRule type="containsText" dxfId="128" priority="141" operator="containsText" text="Possédée">
      <formula>NOT(ISERROR(SEARCH("Possédée",Z95)))</formula>
    </cfRule>
  </conditionalFormatting>
  <conditionalFormatting sqref="Q87">
    <cfRule type="containsText" dxfId="127" priority="80" operator="containsText" text="Non">
      <formula>NOT(ISERROR(SEARCH("Non",Q87)))</formula>
    </cfRule>
    <cfRule type="containsText" dxfId="126" priority="81" operator="containsText" text="Oui">
      <formula>NOT(ISERROR(SEARCH("Oui",Q87)))</formula>
    </cfRule>
  </conditionalFormatting>
  <conditionalFormatting sqref="L120:M120">
    <cfRule type="uniqueValues" dxfId="125" priority="79"/>
  </conditionalFormatting>
  <conditionalFormatting sqref="L126:M126">
    <cfRule type="uniqueValues" dxfId="124" priority="78"/>
  </conditionalFormatting>
  <conditionalFormatting sqref="L127:M127">
    <cfRule type="uniqueValues" dxfId="123" priority="77"/>
  </conditionalFormatting>
  <conditionalFormatting sqref="L139:M139">
    <cfRule type="uniqueValues" dxfId="122" priority="76"/>
  </conditionalFormatting>
  <conditionalFormatting sqref="L142:M142">
    <cfRule type="uniqueValues" dxfId="121" priority="75"/>
  </conditionalFormatting>
  <conditionalFormatting sqref="L145:M145">
    <cfRule type="uniqueValues" dxfId="120" priority="74"/>
  </conditionalFormatting>
  <conditionalFormatting sqref="L150:M150">
    <cfRule type="uniqueValues" dxfId="119" priority="73"/>
  </conditionalFormatting>
  <conditionalFormatting sqref="L151:M151">
    <cfRule type="uniqueValues" dxfId="118" priority="72"/>
  </conditionalFormatting>
  <conditionalFormatting sqref="L153:M153">
    <cfRule type="uniqueValues" dxfId="117" priority="71"/>
  </conditionalFormatting>
  <conditionalFormatting sqref="A2:C3">
    <cfRule type="duplicateValues" dxfId="116" priority="58"/>
  </conditionalFormatting>
  <conditionalFormatting sqref="I9">
    <cfRule type="containsText" dxfId="115" priority="57" operator="containsText" text="Erreur !">
      <formula>NOT(ISERROR(SEARCH("Erreur !",I9)))</formula>
    </cfRule>
  </conditionalFormatting>
  <conditionalFormatting sqref="Z69:Z76">
    <cfRule type="containsText" dxfId="114" priority="53" operator="containsText" text="Non">
      <formula>NOT(ISERROR(SEARCH("Non",Z69)))</formula>
    </cfRule>
    <cfRule type="containsText" dxfId="113" priority="54" operator="containsText" text="Oui">
      <formula>NOT(ISERROR(SEARCH("Oui",Z69)))</formula>
    </cfRule>
  </conditionalFormatting>
  <conditionalFormatting sqref="Z78:Z85">
    <cfRule type="containsText" dxfId="112" priority="51" operator="containsText" text="Non">
      <formula>NOT(ISERROR(SEARCH("Non",Z78)))</formula>
    </cfRule>
    <cfRule type="containsText" dxfId="111" priority="52" operator="containsText" text="Oui">
      <formula>NOT(ISERROR(SEARCH("Oui",Z78)))</formula>
    </cfRule>
  </conditionalFormatting>
  <conditionalFormatting sqref="Z87:Z95">
    <cfRule type="containsText" dxfId="110" priority="49" operator="containsText" text="Non">
      <formula>NOT(ISERROR(SEARCH("Non",Z87)))</formula>
    </cfRule>
    <cfRule type="containsText" dxfId="109" priority="50" operator="containsText" text="Oui">
      <formula>NOT(ISERROR(SEARCH("Oui",Z87)))</formula>
    </cfRule>
  </conditionalFormatting>
  <conditionalFormatting sqref="Z97:Z103">
    <cfRule type="containsText" dxfId="108" priority="47" operator="containsText" text="Non">
      <formula>NOT(ISERROR(SEARCH("Non",Z97)))</formula>
    </cfRule>
    <cfRule type="containsText" dxfId="107" priority="48" operator="containsText" text="Oui">
      <formula>NOT(ISERROR(SEARCH("Oui",Z97)))</formula>
    </cfRule>
  </conditionalFormatting>
  <conditionalFormatting sqref="Z105:Z112">
    <cfRule type="containsText" dxfId="106" priority="45" operator="containsText" text="Non">
      <formula>NOT(ISERROR(SEARCH("Non",Z105)))</formula>
    </cfRule>
    <cfRule type="containsText" dxfId="105" priority="46" operator="containsText" text="Oui">
      <formula>NOT(ISERROR(SEARCH("Oui",Z105)))</formula>
    </cfRule>
  </conditionalFormatting>
  <conditionalFormatting sqref="Z114:Z121">
    <cfRule type="containsText" dxfId="104" priority="43" operator="containsText" text="Non">
      <formula>NOT(ISERROR(SEARCH("Non",Z114)))</formula>
    </cfRule>
    <cfRule type="containsText" dxfId="103" priority="44" operator="containsText" text="Oui">
      <formula>NOT(ISERROR(SEARCH("Oui",Z114)))</formula>
    </cfRule>
  </conditionalFormatting>
  <conditionalFormatting sqref="Z123:Z130">
    <cfRule type="containsText" dxfId="102" priority="41" operator="containsText" text="Non">
      <formula>NOT(ISERROR(SEARCH("Non",Z123)))</formula>
    </cfRule>
    <cfRule type="containsText" dxfId="101" priority="42" operator="containsText" text="Oui">
      <formula>NOT(ISERROR(SEARCH("Oui",Z123)))</formula>
    </cfRule>
  </conditionalFormatting>
  <conditionalFormatting sqref="Z132:Z139">
    <cfRule type="containsText" dxfId="100" priority="39" operator="containsText" text="Non">
      <formula>NOT(ISERROR(SEARCH("Non",Z132)))</formula>
    </cfRule>
    <cfRule type="containsText" dxfId="99" priority="40" operator="containsText" text="Oui">
      <formula>NOT(ISERROR(SEARCH("Oui",Z132)))</formula>
    </cfRule>
  </conditionalFormatting>
  <conditionalFormatting sqref="Z141:Z148">
    <cfRule type="containsText" dxfId="98" priority="37" operator="containsText" text="Non">
      <formula>NOT(ISERROR(SEARCH("Non",Z141)))</formula>
    </cfRule>
    <cfRule type="containsText" dxfId="97" priority="38" operator="containsText" text="Oui">
      <formula>NOT(ISERROR(SEARCH("Oui",Z141)))</formula>
    </cfRule>
  </conditionalFormatting>
  <conditionalFormatting sqref="Z150:Z152">
    <cfRule type="containsText" dxfId="96" priority="35" operator="containsText" text="Non">
      <formula>NOT(ISERROR(SEARCH("Non",Z150)))</formula>
    </cfRule>
    <cfRule type="containsText" dxfId="95" priority="36" operator="containsText" text="Oui">
      <formula>NOT(ISERROR(SEARCH("Oui",Z150)))</formula>
    </cfRule>
  </conditionalFormatting>
  <conditionalFormatting sqref="Z153">
    <cfRule type="containsText" dxfId="94" priority="33" operator="containsText" text="Non">
      <formula>NOT(ISERROR(SEARCH("Non",Z153)))</formula>
    </cfRule>
    <cfRule type="containsText" dxfId="93" priority="34" operator="containsText" text="Oui">
      <formula>NOT(ISERROR(SEARCH("Oui",Z153)))</formula>
    </cfRule>
  </conditionalFormatting>
  <conditionalFormatting sqref="N7">
    <cfRule type="containsText" dxfId="92" priority="10" operator="containsText" text="Province ?">
      <formula>NOT(ISERROR(SEARCH("Province ?",N7)))</formula>
    </cfRule>
  </conditionalFormatting>
  <conditionalFormatting sqref="P41">
    <cfRule type="cellIs" dxfId="91" priority="9" operator="equal">
      <formula>0</formula>
    </cfRule>
  </conditionalFormatting>
  <conditionalFormatting sqref="P34">
    <cfRule type="cellIs" dxfId="90" priority="8" operator="lessThan">
      <formula>0</formula>
    </cfRule>
  </conditionalFormatting>
  <conditionalFormatting sqref="P52">
    <cfRule type="cellIs" dxfId="89" priority="2" operator="equal">
      <formula>0</formula>
    </cfRule>
  </conditionalFormatting>
  <conditionalFormatting sqref="P61">
    <cfRule type="cellIs" dxfId="88" priority="1" operator="lessThan">
      <formula>0</formula>
    </cfRule>
  </conditionalFormatting>
  <dataValidations xWindow="494" yWindow="474" count="13">
    <dataValidation type="list" allowBlank="1" showInputMessage="1" showErrorMessage="1" sqref="AA69:AA76 AA78:AA85 AA87:AA95 AA97:AA103 AA105:AA112 AA114:AA121 AA123:AA130 AA132:AA139 AA141:AA148 AA150:AA153 AA155:AA160">
      <formula1>Malus</formula1>
    </dataValidation>
    <dataValidation type="list" allowBlank="1" showInputMessage="1" showErrorMessage="1" sqref="Z155:Z160">
      <formula1>"Possédée,Assiégée,Non Possédée"</formula1>
    </dataValidation>
    <dataValidation type="list" errorStyle="information" allowBlank="1" showInputMessage="1" showErrorMessage="1" sqref="G7">
      <formula1>Année</formula1>
    </dataValidation>
    <dataValidation type="list" allowBlank="1" showInputMessage="1" showErrorMessage="1" sqref="Y150:Y153 Y69:Y76 Y78:Y85 Y87:Y95 Y97:Y103 Y105:Y112 Y114:Y121 Y123:Y130 Y132:Y139 Y141:Y148 G6">
      <formula1>Provinces</formula1>
    </dataValidation>
    <dataValidation type="list" allowBlank="1" showInputMessage="1" showErrorMessage="1" sqref="Z105:Z112 Z97:Z103 Z87:Z95 Z123:Z130 Z78:Z85 Z69:Z76 Z150:Z153 Z132:Z139 Z141:Z148 Z114:Z121">
      <formula1>"Oui,Non"</formula1>
    </dataValidation>
    <dataValidation type="whole" errorStyle="warning" allowBlank="1" showInputMessage="1" showErrorMessage="1" errorTitle="Nombre non valide" error="Veuillez mettre un nombre entier compris entre 0 et le maximum de villes que vous pouvez alimenter en ressources." sqref="N8">
      <formula1>0</formula1>
      <formula2>N9</formula2>
    </dataValidation>
    <dataValidation type="whole" errorStyle="warning" operator="greaterThanOrEqual" allowBlank="1" showInputMessage="1" showErrorMessage="1" errorTitle="Nombre entier uniquement" error="Les stocks et variations de marchandises s'expriment uniquement en nombre entiers supérieurs ou égal à 0. Merci." sqref="N13:Q16 L16:M16 J13:M15 P17">
      <formula1>0</formula1>
    </dataValidation>
    <dataValidation type="whole" errorStyle="information" allowBlank="1" showInputMessage="1" showErrorMessage="1" errorTitle="Trop ou pas assez de nourriture" error="• Vous ne possèdez pas cette quantité de nourriture._x000a_• Ou vos soldats sont déjà intégralement payés avec autant de nourriture. Inutile de leur donner plus que le maximum demandé." sqref="J20:K20">
      <formula1>0</formula1>
      <formula2>P164</formula2>
    </dataValidation>
    <dataValidation type="whole" operator="greaterThanOrEqual" allowBlank="1" showInputMessage="1" showErrorMessage="1" errorTitle="Chiffre entiers uniquement" error="Les bataillons sont toujours décomptés en nombre entier positifs dans cette version du Wargame." sqref="P37 P48">
      <formula1>0</formula1>
    </dataValidation>
    <dataValidation type="whole" operator="greaterThanOrEqual" allowBlank="1" showInputMessage="1" showErrorMessage="1" errorTitle="Nombre entier uniquement" error="La trésorerie ne peut avoir qu'une valeur entière supérieure ou égale à 0." sqref="P26:P34 P45 P61">
      <formula1>0</formula1>
    </dataValidation>
    <dataValidation type="whole" errorStyle="warning" operator="greaterThanOrEqual" allowBlank="1" showInputMessage="1" showErrorMessage="1" errorTitle="Nombre entier positif uniquement" error="Les mouvements d'argent doivent être indiqués en nombres positifs (soustraction automatique sur le solde)." sqref="P54:P60">
      <formula1>0</formula1>
    </dataValidation>
    <dataValidation type="list" allowBlank="1" showInputMessage="1" showErrorMessage="1" errorTitle="Répondre : Oui, Chantier ou Non" error="Ne répondre que par l'un de ces trois mots (menu déroulant)" sqref="T69:W76 T78:W85 T87:W95 T97:W103 T114:W121 T123:W130 T132:W139 T141:W148 T150:W153 N69:O69 O70:O76 N71:N76 P75 Q72:Q73 Q70 R69:S71 S72:S76 R74 Q76 N78:N79 N81:N83 N85 O80:O81 O78 P78:P85 Q79:Q80 R78:R85 Q82:Q84 S84:S85 S87 Q87 N87:O91 N92:N95 O95 P88:P95 Q94:Q95 Q91:Q92 R88:R90 R92:R94 Q97:S97 O97 N98:N99 N101:N103 O99:O103 P100 P98 Q98:R103 S105:W112 R106:R112 Q107 N105:P105 N106:O106 O107:O112 P110 P112 N111 N108:N109 N115:N118 N120 O118:O119 O121 P114:P121 Q119:R121 R114:R118 S114 Q114:Q117 N123:N130 O123:O126 O129:O130 P127 Q123:Q130 R126:R128 S123:S125 S128:S130 N132:N133 O133:O136 O139 P132:P139 Q134:Q139 R137:R139 S132:S138 R132 N141:O146 N147:N148 Q141:Q148 P142 R145 S141 S143:S144 S146:S148 R147:R148 P150:R153 O153 O150:O151 S152 S93">
      <formula1>"Oui,Chantier,Non"</formula1>
    </dataValidation>
    <dataValidation allowBlank="1" showInputMessage="1" showErrorMessage="1" errorTitle="Répondre : Oui, Chantier ou Non" error="Ne répondre que par l'un de ces trois mots (menu déroulant)" sqref="T149:W149 T154:W154 T140:W140 T131:W131 T122:W122 T113:W113 T104:W104 T96:W96 T86:W86 T77:W77 T68:W68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" operator="containsText" id="{D6512D4E-33E8-48A7-A740-75513C5C86C8}">
            <xm:f>NOT(ISERROR(SEARCH($A$174,Y69)))</xm:f>
            <xm:f>$A$174</xm:f>
            <x14:dxf>
              <font>
                <color rgb="FF008000"/>
              </font>
            </x14:dxf>
          </x14:cfRule>
          <x14:cfRule type="containsText" priority="23" operator="containsText" id="{639179CF-E703-412C-B010-6196CE309C86}">
            <xm:f>NOT(ISERROR(SEARCH($A$173,Y69)))</xm:f>
            <xm:f>$A$173</xm:f>
            <x14:dxf>
              <font>
                <color rgb="FF660033"/>
              </font>
            </x14:dxf>
          </x14:cfRule>
          <x14:cfRule type="containsText" priority="24" operator="containsText" id="{983209C7-5783-41B9-9478-D2ED5D1F0769}">
            <xm:f>NOT(ISERROR(SEARCH($A$172,Y69)))</xm:f>
            <xm:f>$A$172</xm:f>
            <x14:dxf>
              <font>
                <color rgb="FF808000"/>
              </font>
            </x14:dxf>
          </x14:cfRule>
          <x14:cfRule type="containsText" priority="25" operator="containsText" id="{70F7EF65-BE96-4996-912C-C274722C3399}">
            <xm:f>NOT(ISERROR(SEARCH($A$171,Y69)))</xm:f>
            <xm:f>$A$171</xm:f>
            <x14:dxf>
              <font>
                <color rgb="FFCC0099"/>
              </font>
            </x14:dxf>
          </x14:cfRule>
          <x14:cfRule type="containsText" priority="26" operator="containsText" id="{BB0A6456-2410-422D-BE39-4007E38A8D16}">
            <xm:f>NOT(ISERROR(SEARCH($A$170,Y69)))</xm:f>
            <xm:f>$A$170</xm:f>
            <x14:dxf>
              <font>
                <color rgb="FF008080"/>
              </font>
            </x14:dxf>
          </x14:cfRule>
          <x14:cfRule type="containsText" priority="27" operator="containsText" id="{6B5EBC45-B592-405F-A7D0-C80B199F7505}">
            <xm:f>NOT(ISERROR(SEARCH($A$169,Y69)))</xm:f>
            <xm:f>$A$169</xm:f>
            <x14:dxf>
              <font>
                <color rgb="FFFF0000"/>
              </font>
            </x14:dxf>
          </x14:cfRule>
          <x14:cfRule type="containsText" priority="28" operator="containsText" id="{574B1345-9FFC-4A34-9928-73DFE36A6F6B}">
            <xm:f>NOT(ISERROR(SEARCH($A$168,Y69)))</xm:f>
            <xm:f>$A$168</xm:f>
            <x14:dxf>
              <font>
                <color rgb="FF3300CC"/>
              </font>
            </x14:dxf>
          </x14:cfRule>
          <x14:cfRule type="containsText" priority="29" operator="containsText" id="{E6595EA4-C90A-46F1-8EC7-732C051C1AE0}">
            <xm:f>NOT(ISERROR(SEARCH($A$167,Y69)))</xm:f>
            <xm:f>$A$167</xm:f>
            <x14:dxf>
              <font>
                <color rgb="FF996600"/>
              </font>
            </x14:dxf>
          </x14:cfRule>
          <x14:cfRule type="containsText" priority="30" operator="containsText" id="{B953AF69-5627-4C43-A68A-4D50DEA97D40}">
            <xm:f>NOT(ISERROR(SEARCH($A$166,Y69)))</xm:f>
            <xm:f>$A$166</xm:f>
            <x14:dxf>
              <font>
                <color rgb="FF666666"/>
              </font>
            </x14:dxf>
          </x14:cfRule>
          <x14:cfRule type="containsText" priority="31" operator="containsText" id="{1FE70479-3B27-4E3D-AB08-05F838C2B924}">
            <xm:f>NOT(ISERROR(SEARCH($A$165,Y69)))</xm:f>
            <xm:f>$A$165</xm:f>
            <x14:dxf>
              <font>
                <color rgb="FF0099FF"/>
              </font>
            </x14:dxf>
          </x14:cfRule>
          <x14:cfRule type="containsText" priority="32" operator="containsText" id="{2DD4803E-D52C-42C0-8461-5039E9BE94A7}">
            <xm:f>NOT(ISERROR(SEARCH($A$164,Y69)))</xm:f>
            <xm:f>$A$164</xm:f>
            <x14:dxf>
              <font>
                <color theme="9" tint="-0.24994659260841701"/>
              </font>
            </x14:dxf>
          </x14:cfRule>
          <xm:sqref>Y69:Y76 Y78:Y85 Y87:Y95 Y97:Y103 Y105:Y112 Y114:Y121 Y123:Y130 Y132:Y139 Y141:Y148 Y150:Y153</xm:sqref>
        </x14:conditionalFormatting>
        <x14:conditionalFormatting xmlns:xm="http://schemas.microsoft.com/office/excel/2006/main">
          <x14:cfRule type="containsText" priority="11" operator="containsText" id="{C359FFCE-E918-4B82-B98B-67DC5DC6B6B3}">
            <xm:f>NOT(ISERROR(SEARCH($A$174,G6)))</xm:f>
            <xm:f>$A$174</xm:f>
            <x14:dxf>
              <font>
                <color rgb="FF008000"/>
              </font>
            </x14:dxf>
          </x14:cfRule>
          <x14:cfRule type="containsText" priority="12" operator="containsText" id="{A13E9FB9-C2D8-459D-990A-842C0877BB16}">
            <xm:f>NOT(ISERROR(SEARCH($A$173,G6)))</xm:f>
            <xm:f>$A$173</xm:f>
            <x14:dxf>
              <font>
                <color rgb="FF660033"/>
              </font>
            </x14:dxf>
          </x14:cfRule>
          <x14:cfRule type="containsText" priority="13" operator="containsText" id="{0A11B58D-FBE3-4F82-A2CE-6F61E55BA999}">
            <xm:f>NOT(ISERROR(SEARCH($A$172,G6)))</xm:f>
            <xm:f>$A$172</xm:f>
            <x14:dxf>
              <font>
                <color rgb="FF808000"/>
              </font>
            </x14:dxf>
          </x14:cfRule>
          <x14:cfRule type="containsText" priority="14" operator="containsText" id="{9420D05D-C928-4243-8323-8C4ACAB888F0}">
            <xm:f>NOT(ISERROR(SEARCH($A$171,G6)))</xm:f>
            <xm:f>$A$171</xm:f>
            <x14:dxf>
              <font>
                <color rgb="FFCC0099"/>
              </font>
            </x14:dxf>
          </x14:cfRule>
          <x14:cfRule type="containsText" priority="15" operator="containsText" id="{47C71D44-380E-4D56-A5F4-258390A29D9D}">
            <xm:f>NOT(ISERROR(SEARCH($A$170,G6)))</xm:f>
            <xm:f>$A$170</xm:f>
            <x14:dxf>
              <font>
                <color rgb="FF008080"/>
              </font>
            </x14:dxf>
          </x14:cfRule>
          <x14:cfRule type="containsText" priority="16" operator="containsText" id="{0C6F5B82-8049-405A-AC45-420E5752C54F}">
            <xm:f>NOT(ISERROR(SEARCH($A$169,G6)))</xm:f>
            <xm:f>$A$169</xm:f>
            <x14:dxf>
              <font>
                <color rgb="FFFF0000"/>
              </font>
            </x14:dxf>
          </x14:cfRule>
          <x14:cfRule type="containsText" priority="17" operator="containsText" id="{E0B837F2-DC06-4208-94F9-3F4B95B50BE4}">
            <xm:f>NOT(ISERROR(SEARCH($A$168,G6)))</xm:f>
            <xm:f>$A$168</xm:f>
            <x14:dxf>
              <font>
                <color rgb="FF3300CC"/>
              </font>
            </x14:dxf>
          </x14:cfRule>
          <x14:cfRule type="containsText" priority="18" operator="containsText" id="{1B63AFEB-7ABB-4CA6-9422-347D4C773854}">
            <xm:f>NOT(ISERROR(SEARCH($A$167,G6)))</xm:f>
            <xm:f>$A$167</xm:f>
            <x14:dxf>
              <font>
                <color rgb="FF996600"/>
              </font>
            </x14:dxf>
          </x14:cfRule>
          <x14:cfRule type="containsText" priority="19" operator="containsText" id="{D23968A0-5EDE-4B3C-ACAE-1BB5EE20CACB}">
            <xm:f>NOT(ISERROR(SEARCH($A$166,G6)))</xm:f>
            <xm:f>$A$166</xm:f>
            <x14:dxf>
              <font>
                <color rgb="FF666666"/>
              </font>
            </x14:dxf>
          </x14:cfRule>
          <x14:cfRule type="containsText" priority="20" operator="containsText" id="{CECDEE60-51C2-4D4D-B8A7-04D4D1CE3E88}">
            <xm:f>NOT(ISERROR(SEARCH($A$165,G6)))</xm:f>
            <xm:f>$A$165</xm:f>
            <x14:dxf>
              <font>
                <color rgb="FF0099FF"/>
              </font>
            </x14:dxf>
          </x14:cfRule>
          <x14:cfRule type="containsText" priority="21" operator="containsText" id="{5F418FD8-3AC0-440D-931B-06641ADB7326}">
            <xm:f>NOT(ISERROR(SEARCH($A$164,G6)))</xm:f>
            <xm:f>$A$164</xm:f>
            <x14:dxf>
              <font>
                <color theme="9" tint="-0.24994659260841701"/>
              </font>
            </x14:dxf>
          </x14:cfRule>
          <xm:sqref>G6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9"/>
  <sheetViews>
    <sheetView topLeftCell="A10" workbookViewId="0">
      <selection activeCell="G25" sqref="G25"/>
    </sheetView>
  </sheetViews>
  <sheetFormatPr baseColWidth="10" defaultRowHeight="15" x14ac:dyDescent="0.25"/>
  <cols>
    <col min="1" max="1" width="1.42578125" customWidth="1"/>
    <col min="5" max="5" width="2.85546875" customWidth="1"/>
    <col min="6" max="6" width="8.5703125" customWidth="1"/>
    <col min="7" max="12" width="10.7109375" customWidth="1"/>
  </cols>
  <sheetData>
    <row r="1" spans="2:12" ht="18.75" x14ac:dyDescent="0.3">
      <c r="B1" s="206" t="s">
        <v>280</v>
      </c>
    </row>
    <row r="2" spans="2:12" x14ac:dyDescent="0.25">
      <c r="B2" s="186"/>
    </row>
    <row r="3" spans="2:12" x14ac:dyDescent="0.25">
      <c r="B3" t="s">
        <v>275</v>
      </c>
    </row>
    <row r="4" spans="2:12" x14ac:dyDescent="0.25">
      <c r="B4" t="s">
        <v>291</v>
      </c>
    </row>
    <row r="5" spans="2:12" x14ac:dyDescent="0.25">
      <c r="B5" t="s">
        <v>273</v>
      </c>
    </row>
    <row r="6" spans="2:12" x14ac:dyDescent="0.25">
      <c r="B6" t="s">
        <v>274</v>
      </c>
    </row>
    <row r="7" spans="2:12" x14ac:dyDescent="0.25">
      <c r="B7" t="s">
        <v>292</v>
      </c>
    </row>
    <row r="9" spans="2:12" ht="15.75" x14ac:dyDescent="0.25">
      <c r="B9" s="125" t="s">
        <v>202</v>
      </c>
    </row>
    <row r="10" spans="2:12" x14ac:dyDescent="0.25">
      <c r="B10" s="8" t="s">
        <v>92</v>
      </c>
      <c r="D10" s="298" t="s">
        <v>85</v>
      </c>
      <c r="E10" s="299"/>
      <c r="F10" s="299"/>
      <c r="G10" s="300"/>
      <c r="J10" s="126" t="s">
        <v>277</v>
      </c>
    </row>
    <row r="11" spans="2:12" x14ac:dyDescent="0.25">
      <c r="B11" t="s">
        <v>93</v>
      </c>
      <c r="D11" s="274" t="str">
        <f>Ressources!G7</f>
        <v>4E 217</v>
      </c>
      <c r="E11" s="275"/>
      <c r="F11" s="276"/>
      <c r="H11" s="142" t="s">
        <v>255</v>
      </c>
      <c r="I11" s="83">
        <f>Ressources!H178</f>
        <v>1</v>
      </c>
      <c r="J11" s="12"/>
    </row>
    <row r="12" spans="2:12" x14ac:dyDescent="0.25">
      <c r="H12" s="154" t="s">
        <v>257</v>
      </c>
      <c r="I12" s="82">
        <v>1</v>
      </c>
      <c r="J12" s="126" t="s">
        <v>266</v>
      </c>
      <c r="K12" s="8"/>
    </row>
    <row r="13" spans="2:12" x14ac:dyDescent="0.25">
      <c r="D13" s="142" t="s">
        <v>182</v>
      </c>
      <c r="E13" s="130" t="s">
        <v>181</v>
      </c>
      <c r="F13" s="131">
        <f>IF(I11&lt;I12,"Erreur !",I12*2.5/I11)</f>
        <v>2.5</v>
      </c>
      <c r="H13" s="142" t="s">
        <v>180</v>
      </c>
      <c r="I13" s="117">
        <f>F79</f>
        <v>1</v>
      </c>
      <c r="J13" t="s">
        <v>256</v>
      </c>
    </row>
    <row r="15" spans="2:12" ht="15.75" x14ac:dyDescent="0.25">
      <c r="B15" s="125" t="s">
        <v>321</v>
      </c>
    </row>
    <row r="16" spans="2:12" x14ac:dyDescent="0.25">
      <c r="G16" s="220" t="s">
        <v>233</v>
      </c>
      <c r="H16" s="225"/>
      <c r="I16" s="226"/>
      <c r="J16" s="147">
        <f>Ressources!O11</f>
        <v>250</v>
      </c>
      <c r="K16" s="220" t="s">
        <v>234</v>
      </c>
      <c r="L16" s="226"/>
    </row>
    <row r="17" spans="2:12" x14ac:dyDescent="0.25">
      <c r="B17" s="13"/>
      <c r="G17" s="180" t="s">
        <v>7</v>
      </c>
      <c r="H17" s="180" t="s">
        <v>8</v>
      </c>
      <c r="I17" s="140" t="s">
        <v>9</v>
      </c>
      <c r="J17" s="140" t="s">
        <v>169</v>
      </c>
      <c r="K17" s="140" t="s">
        <v>170</v>
      </c>
      <c r="L17" s="140" t="s">
        <v>84</v>
      </c>
    </row>
    <row r="18" spans="2:12" x14ac:dyDescent="0.25">
      <c r="B18" s="235" t="s">
        <v>210</v>
      </c>
      <c r="C18" s="235"/>
      <c r="D18" s="235"/>
      <c r="E18" s="235"/>
      <c r="F18" s="235"/>
      <c r="G18" s="177">
        <v>9</v>
      </c>
      <c r="H18" s="177">
        <v>9</v>
      </c>
      <c r="I18" s="128">
        <v>9</v>
      </c>
      <c r="J18" s="128">
        <v>9</v>
      </c>
      <c r="K18" s="128">
        <v>9</v>
      </c>
      <c r="L18" s="128">
        <v>9</v>
      </c>
    </row>
    <row r="19" spans="2:12" x14ac:dyDescent="0.25">
      <c r="B19" s="219" t="s">
        <v>208</v>
      </c>
      <c r="C19" s="219"/>
      <c r="D19" s="219"/>
      <c r="E19" s="219"/>
      <c r="F19" s="219"/>
      <c r="G19" s="184">
        <v>109</v>
      </c>
      <c r="H19" s="184">
        <v>109</v>
      </c>
      <c r="I19" s="107">
        <v>109</v>
      </c>
      <c r="J19" s="107">
        <v>109</v>
      </c>
      <c r="K19" s="107">
        <v>209</v>
      </c>
      <c r="L19" s="107">
        <v>109</v>
      </c>
    </row>
    <row r="20" spans="2:12" x14ac:dyDescent="0.25">
      <c r="B20" s="219" t="s">
        <v>209</v>
      </c>
      <c r="C20" s="219"/>
      <c r="D20" s="219"/>
      <c r="E20" s="219"/>
      <c r="F20" s="219"/>
      <c r="G20" s="181">
        <v>19</v>
      </c>
      <c r="H20" s="181">
        <v>19</v>
      </c>
      <c r="I20" s="108">
        <v>19</v>
      </c>
      <c r="J20" s="108">
        <v>19</v>
      </c>
      <c r="K20" s="108">
        <v>19</v>
      </c>
      <c r="L20" s="108">
        <v>19</v>
      </c>
    </row>
    <row r="21" spans="2:12" x14ac:dyDescent="0.25">
      <c r="B21" s="219" t="s">
        <v>190</v>
      </c>
      <c r="C21" s="219"/>
      <c r="D21" s="219"/>
      <c r="E21" s="219"/>
      <c r="F21" s="219"/>
      <c r="G21" s="182"/>
      <c r="H21" s="181">
        <v>29</v>
      </c>
      <c r="I21" s="108">
        <v>29</v>
      </c>
      <c r="J21" s="108">
        <v>29</v>
      </c>
      <c r="K21" s="108">
        <v>29</v>
      </c>
      <c r="L21" s="108">
        <v>29</v>
      </c>
    </row>
    <row r="22" spans="2:12" x14ac:dyDescent="0.25">
      <c r="B22" s="219" t="s">
        <v>194</v>
      </c>
      <c r="C22" s="219"/>
      <c r="D22" s="219"/>
      <c r="E22" s="219"/>
      <c r="F22" s="219"/>
      <c r="G22" s="220"/>
      <c r="H22" s="225"/>
      <c r="I22" s="225"/>
      <c r="J22" s="226"/>
      <c r="K22" s="108">
        <v>39</v>
      </c>
      <c r="L22" s="96"/>
    </row>
    <row r="23" spans="2:12" x14ac:dyDescent="0.25">
      <c r="B23" s="219" t="s">
        <v>193</v>
      </c>
      <c r="C23" s="219"/>
      <c r="D23" s="219"/>
      <c r="E23" s="219"/>
      <c r="F23" s="219"/>
      <c r="G23" s="200">
        <f>G18+G19-G20</f>
        <v>99</v>
      </c>
      <c r="H23" s="200">
        <f>H18+H19-H20-H21</f>
        <v>70</v>
      </c>
      <c r="I23" s="111">
        <f>I18+I19-I20-I21</f>
        <v>70</v>
      </c>
      <c r="J23" s="111">
        <f>J18+J19-J20-J21</f>
        <v>70</v>
      </c>
      <c r="K23" s="111">
        <f>K18+K19-K20-K21-K22</f>
        <v>131</v>
      </c>
      <c r="L23" s="111">
        <f>L18+L19-L20-L21-L22</f>
        <v>70</v>
      </c>
    </row>
    <row r="24" spans="2:12" x14ac:dyDescent="0.25">
      <c r="B24" s="219" t="s">
        <v>218</v>
      </c>
      <c r="C24" s="219"/>
      <c r="D24" s="219"/>
      <c r="E24" s="219"/>
      <c r="F24" s="219"/>
      <c r="G24" s="198">
        <f>3*$I12</f>
        <v>3</v>
      </c>
      <c r="H24" s="198">
        <f t="shared" ref="H24:L24" si="0">3*$I12</f>
        <v>3</v>
      </c>
      <c r="I24" s="198">
        <f t="shared" si="0"/>
        <v>3</v>
      </c>
      <c r="J24" s="198">
        <f t="shared" si="0"/>
        <v>3</v>
      </c>
      <c r="K24" s="198">
        <f t="shared" si="0"/>
        <v>3</v>
      </c>
      <c r="L24" s="110">
        <f t="shared" si="0"/>
        <v>3</v>
      </c>
    </row>
    <row r="25" spans="2:12" x14ac:dyDescent="0.25">
      <c r="B25" s="219" t="s">
        <v>128</v>
      </c>
      <c r="C25" s="219"/>
      <c r="D25" s="219"/>
      <c r="E25" s="219"/>
      <c r="F25" s="219"/>
      <c r="G25" s="181">
        <v>60</v>
      </c>
      <c r="H25" s="213" t="s">
        <v>196</v>
      </c>
      <c r="I25" s="118">
        <f>Ressources!M20</f>
        <v>60</v>
      </c>
      <c r="J25" s="115" t="s">
        <v>135</v>
      </c>
      <c r="K25" s="119"/>
      <c r="L25" s="85"/>
    </row>
    <row r="26" spans="2:12" x14ac:dyDescent="0.25">
      <c r="B26" s="219" t="s">
        <v>129</v>
      </c>
      <c r="C26" s="219"/>
      <c r="D26" s="219"/>
      <c r="E26" s="219"/>
      <c r="F26" s="219"/>
      <c r="G26" s="214">
        <f>Ressources!J21</f>
        <v>64</v>
      </c>
      <c r="H26" s="214">
        <f>Ressources!L21</f>
        <v>28</v>
      </c>
      <c r="I26" s="109">
        <f>Ressources!N21</f>
        <v>32</v>
      </c>
      <c r="J26" s="109">
        <f>Ressources!O21</f>
        <v>0</v>
      </c>
      <c r="K26" s="109">
        <f>Ressources!P21</f>
        <v>24</v>
      </c>
      <c r="L26" s="109">
        <f>Ressources!Q21</f>
        <v>12</v>
      </c>
    </row>
    <row r="27" spans="2:12" x14ac:dyDescent="0.25">
      <c r="B27" s="219" t="s">
        <v>235</v>
      </c>
      <c r="C27" s="219"/>
      <c r="D27" s="219"/>
      <c r="E27" s="219"/>
      <c r="F27" s="219"/>
      <c r="G27" s="198">
        <f>IF(G23-G24+G26-G25&gt;$J16,G23-G24+G26-G25-$J16,0)</f>
        <v>0</v>
      </c>
      <c r="H27" s="198">
        <f>IF(H23-H24+H26&gt;$J16,H23-H24+H26-$J16,0)</f>
        <v>0</v>
      </c>
      <c r="I27" s="110">
        <f>IF(I23-I24+I26&gt;$J16,I23-I24+I26-$J16,0)</f>
        <v>0</v>
      </c>
      <c r="J27" s="110">
        <f>IF(J23-J24+J26&gt;$J16,J23-J24+J26-$J16,0)</f>
        <v>0</v>
      </c>
      <c r="K27" s="110">
        <f>IF(K23-K24+K26&gt;$J16,K23-K24+K26-$J16,0)</f>
        <v>0</v>
      </c>
      <c r="L27" s="110">
        <f>IF(L23-L24+L26&gt;$J16,L23-L24+L26-$J16,0)</f>
        <v>0</v>
      </c>
    </row>
    <row r="28" spans="2:12" x14ac:dyDescent="0.25">
      <c r="B28" s="235" t="s">
        <v>217</v>
      </c>
      <c r="C28" s="235"/>
      <c r="D28" s="235"/>
      <c r="E28" s="235"/>
      <c r="F28" s="235"/>
      <c r="G28" s="199">
        <f>G23-G24+G26-G25-G27</f>
        <v>100</v>
      </c>
      <c r="H28" s="199">
        <f>H23-H24+H26-H27</f>
        <v>95</v>
      </c>
      <c r="I28" s="129">
        <f>I23-I24+I26-I27</f>
        <v>99</v>
      </c>
      <c r="J28" s="129">
        <f>J23-J24+J26-J27</f>
        <v>67</v>
      </c>
      <c r="K28" s="129">
        <f>K23-K24+K26-K27</f>
        <v>152</v>
      </c>
      <c r="L28" s="129">
        <f>L23-L24+L26-L27</f>
        <v>79</v>
      </c>
    </row>
    <row r="30" spans="2:12" ht="15.75" x14ac:dyDescent="0.25">
      <c r="B30" s="146" t="str">
        <f>Ressources!C25</f>
        <v>Historique des finances du 1er Primétoile de l'année précédente au 1er Primétoile de l'année 4E 217 :</v>
      </c>
    </row>
    <row r="31" spans="2:12" x14ac:dyDescent="0.25">
      <c r="B31" s="236" t="s">
        <v>232</v>
      </c>
      <c r="C31" s="266"/>
      <c r="D31" s="266"/>
      <c r="E31" s="266"/>
      <c r="F31" s="267"/>
      <c r="G31" s="135">
        <v>204000</v>
      </c>
      <c r="H31" s="149" t="s">
        <v>131</v>
      </c>
    </row>
    <row r="32" spans="2:12" x14ac:dyDescent="0.25">
      <c r="B32" s="220" t="s">
        <v>241</v>
      </c>
      <c r="C32" s="225"/>
      <c r="D32" s="225"/>
      <c r="E32" s="225"/>
      <c r="F32" s="226"/>
      <c r="G32" s="136">
        <v>0</v>
      </c>
      <c r="H32" s="150" t="s">
        <v>131</v>
      </c>
    </row>
    <row r="33" spans="2:8" x14ac:dyDescent="0.25">
      <c r="B33" s="220" t="s">
        <v>240</v>
      </c>
      <c r="C33" s="225"/>
      <c r="D33" s="225"/>
      <c r="E33" s="225"/>
      <c r="F33" s="226"/>
      <c r="G33" s="136">
        <v>0</v>
      </c>
      <c r="H33" s="150" t="s">
        <v>131</v>
      </c>
    </row>
    <row r="34" spans="2:8" x14ac:dyDescent="0.25">
      <c r="B34" s="220" t="s">
        <v>239</v>
      </c>
      <c r="C34" s="225"/>
      <c r="D34" s="225"/>
      <c r="E34" s="225"/>
      <c r="F34" s="226"/>
      <c r="G34" s="136">
        <v>0</v>
      </c>
      <c r="H34" s="150" t="s">
        <v>131</v>
      </c>
    </row>
    <row r="35" spans="2:8" x14ac:dyDescent="0.25">
      <c r="B35" s="220" t="s">
        <v>238</v>
      </c>
      <c r="C35" s="225"/>
      <c r="D35" s="225"/>
      <c r="E35" s="225"/>
      <c r="F35" s="226"/>
      <c r="G35" s="137">
        <v>0</v>
      </c>
      <c r="H35" s="150" t="s">
        <v>131</v>
      </c>
    </row>
    <row r="36" spans="2:8" x14ac:dyDescent="0.25">
      <c r="B36" s="220" t="s">
        <v>229</v>
      </c>
      <c r="C36" s="225"/>
      <c r="D36" s="225"/>
      <c r="E36" s="225"/>
      <c r="F36" s="226"/>
      <c r="G36" s="137">
        <v>0</v>
      </c>
      <c r="H36" s="150" t="s">
        <v>131</v>
      </c>
    </row>
    <row r="37" spans="2:8" x14ac:dyDescent="0.25">
      <c r="B37" s="220" t="s">
        <v>219</v>
      </c>
      <c r="C37" s="225"/>
      <c r="D37" s="225"/>
      <c r="E37" s="225"/>
      <c r="F37" s="226"/>
      <c r="G37" s="137">
        <v>160000</v>
      </c>
      <c r="H37" s="150" t="s">
        <v>131</v>
      </c>
    </row>
    <row r="38" spans="2:8" x14ac:dyDescent="0.25">
      <c r="B38" s="220" t="s">
        <v>220</v>
      </c>
      <c r="C38" s="225"/>
      <c r="D38" s="225"/>
      <c r="E38" s="225"/>
      <c r="F38" s="226"/>
      <c r="G38" s="137">
        <v>0</v>
      </c>
      <c r="H38" s="150" t="s">
        <v>131</v>
      </c>
    </row>
    <row r="39" spans="2:8" x14ac:dyDescent="0.25">
      <c r="B39" s="236" t="s">
        <v>143</v>
      </c>
      <c r="C39" s="266"/>
      <c r="D39" s="266"/>
      <c r="E39" s="266"/>
      <c r="F39" s="267"/>
      <c r="G39" s="138">
        <f>Ressources!P34</f>
        <v>48750</v>
      </c>
      <c r="H39" s="153" t="s">
        <v>131</v>
      </c>
    </row>
    <row r="40" spans="2:8" x14ac:dyDescent="0.25">
      <c r="B40" s="220" t="s">
        <v>130</v>
      </c>
      <c r="C40" s="225"/>
      <c r="D40" s="225"/>
      <c r="E40" s="225"/>
      <c r="F40" s="226"/>
      <c r="G40" s="132">
        <f>Ressources!P35</f>
        <v>87500</v>
      </c>
      <c r="H40" s="151" t="s">
        <v>131</v>
      </c>
    </row>
    <row r="41" spans="2:8" x14ac:dyDescent="0.25">
      <c r="B41" s="220" t="s">
        <v>236</v>
      </c>
      <c r="C41" s="225"/>
      <c r="D41" s="225"/>
      <c r="E41" s="225"/>
      <c r="F41" s="226"/>
      <c r="G41" s="132">
        <f>TRUNC(G27+H27+I27+J27+K27+L27)*250</f>
        <v>0</v>
      </c>
      <c r="H41" s="151" t="s">
        <v>131</v>
      </c>
    </row>
    <row r="42" spans="2:8" x14ac:dyDescent="0.25">
      <c r="B42" s="220" t="s">
        <v>179</v>
      </c>
      <c r="C42" s="225"/>
      <c r="D42" s="225"/>
      <c r="E42" s="225"/>
      <c r="F42" s="226"/>
      <c r="G42" s="121">
        <v>141</v>
      </c>
      <c r="H42" s="150" t="s">
        <v>191</v>
      </c>
    </row>
    <row r="43" spans="2:8" x14ac:dyDescent="0.25">
      <c r="B43" s="220" t="s">
        <v>132</v>
      </c>
      <c r="C43" s="225"/>
      <c r="D43" s="225"/>
      <c r="E43" s="225"/>
      <c r="F43" s="226"/>
      <c r="G43" s="155">
        <f>G42*200</f>
        <v>28200</v>
      </c>
      <c r="H43" s="151" t="s">
        <v>131</v>
      </c>
    </row>
    <row r="44" spans="2:8" x14ac:dyDescent="0.25">
      <c r="B44" s="220" t="s">
        <v>192</v>
      </c>
      <c r="C44" s="225"/>
      <c r="D44" s="225"/>
      <c r="E44" s="225"/>
      <c r="F44" s="226"/>
      <c r="G44" s="132">
        <f>Ressources!P39</f>
        <v>60000</v>
      </c>
      <c r="H44" s="151" t="s">
        <v>131</v>
      </c>
    </row>
    <row r="45" spans="2:8" x14ac:dyDescent="0.25">
      <c r="B45" s="220" t="s">
        <v>133</v>
      </c>
      <c r="C45" s="225"/>
      <c r="D45" s="225"/>
      <c r="E45" s="225"/>
      <c r="F45" s="226"/>
      <c r="G45" s="156">
        <f>Ressources!P40</f>
        <v>0</v>
      </c>
      <c r="H45" s="151" t="s">
        <v>131</v>
      </c>
    </row>
    <row r="46" spans="2:8" x14ac:dyDescent="0.25">
      <c r="B46" s="220" t="s">
        <v>134</v>
      </c>
      <c r="C46" s="225"/>
      <c r="D46" s="225"/>
      <c r="E46" s="225"/>
      <c r="F46" s="226"/>
      <c r="G46" s="156">
        <f>Ressources!P41</f>
        <v>87500</v>
      </c>
      <c r="H46" s="152" t="s">
        <v>131</v>
      </c>
    </row>
    <row r="47" spans="2:8" x14ac:dyDescent="0.25">
      <c r="B47" s="236" t="s">
        <v>144</v>
      </c>
      <c r="C47" s="266"/>
      <c r="D47" s="266"/>
      <c r="E47" s="266"/>
      <c r="F47" s="267"/>
      <c r="G47" s="138">
        <f>Ressources!P42</f>
        <v>136250</v>
      </c>
      <c r="H47" s="153" t="s">
        <v>131</v>
      </c>
    </row>
    <row r="48" spans="2:8" x14ac:dyDescent="0.25">
      <c r="B48" s="139"/>
      <c r="C48" s="139"/>
      <c r="D48" s="139"/>
      <c r="E48" s="139"/>
      <c r="F48" s="139"/>
    </row>
    <row r="49" spans="2:8" ht="15.75" x14ac:dyDescent="0.25">
      <c r="B49" s="146" t="str">
        <f>Ressources!I44</f>
        <v>Historique des finances de l'année 4E 217 :</v>
      </c>
    </row>
    <row r="50" spans="2:8" x14ac:dyDescent="0.25">
      <c r="B50" s="236" t="s">
        <v>143</v>
      </c>
      <c r="C50" s="266"/>
      <c r="D50" s="266"/>
      <c r="E50" s="266"/>
      <c r="F50" s="267"/>
      <c r="G50" s="135">
        <v>37900</v>
      </c>
      <c r="H50" s="149" t="s">
        <v>131</v>
      </c>
    </row>
    <row r="51" spans="2:8" x14ac:dyDescent="0.25">
      <c r="B51" s="220" t="s">
        <v>130</v>
      </c>
      <c r="C51" s="225"/>
      <c r="D51" s="225"/>
      <c r="E51" s="225"/>
      <c r="F51" s="226"/>
      <c r="G51" s="132">
        <f>Ressources!P46</f>
        <v>87500</v>
      </c>
      <c r="H51" s="151" t="s">
        <v>131</v>
      </c>
    </row>
    <row r="52" spans="2:8" x14ac:dyDescent="0.25">
      <c r="B52" s="220" t="s">
        <v>236</v>
      </c>
      <c r="C52" s="225"/>
      <c r="D52" s="225"/>
      <c r="E52" s="225"/>
      <c r="F52" s="226"/>
      <c r="G52" s="132">
        <f>TRUNC(G27+H27+I27+J27+K27+L27)*250</f>
        <v>0</v>
      </c>
      <c r="H52" s="151" t="s">
        <v>131</v>
      </c>
    </row>
    <row r="53" spans="2:8" x14ac:dyDescent="0.25">
      <c r="B53" s="220" t="s">
        <v>179</v>
      </c>
      <c r="C53" s="225"/>
      <c r="D53" s="225"/>
      <c r="E53" s="225"/>
      <c r="F53" s="226"/>
      <c r="G53" s="121">
        <v>55</v>
      </c>
      <c r="H53" s="150" t="s">
        <v>191</v>
      </c>
    </row>
    <row r="54" spans="2:8" x14ac:dyDescent="0.25">
      <c r="B54" s="220" t="s">
        <v>132</v>
      </c>
      <c r="C54" s="225"/>
      <c r="D54" s="225"/>
      <c r="E54" s="225"/>
      <c r="F54" s="226"/>
      <c r="G54" s="155">
        <f>Ressources!P49</f>
        <v>60000</v>
      </c>
      <c r="H54" s="151" t="s">
        <v>131</v>
      </c>
    </row>
    <row r="55" spans="2:8" x14ac:dyDescent="0.25">
      <c r="B55" s="220" t="s">
        <v>192</v>
      </c>
      <c r="C55" s="225"/>
      <c r="D55" s="225"/>
      <c r="E55" s="225"/>
      <c r="F55" s="226"/>
      <c r="G55" s="132">
        <f>Ressources!P50</f>
        <v>60000</v>
      </c>
      <c r="H55" s="151" t="s">
        <v>131</v>
      </c>
    </row>
    <row r="56" spans="2:8" x14ac:dyDescent="0.25">
      <c r="B56" s="220" t="s">
        <v>133</v>
      </c>
      <c r="C56" s="225"/>
      <c r="D56" s="225"/>
      <c r="E56" s="225"/>
      <c r="F56" s="226"/>
      <c r="G56" s="156">
        <f>Ressources!P51</f>
        <v>0</v>
      </c>
      <c r="H56" s="151" t="s">
        <v>131</v>
      </c>
    </row>
    <row r="57" spans="2:8" x14ac:dyDescent="0.25">
      <c r="B57" s="220" t="s">
        <v>134</v>
      </c>
      <c r="C57" s="225"/>
      <c r="D57" s="225"/>
      <c r="E57" s="225"/>
      <c r="F57" s="226"/>
      <c r="G57" s="156">
        <f>Ressources!P52</f>
        <v>87500</v>
      </c>
      <c r="H57" s="152" t="s">
        <v>131</v>
      </c>
    </row>
    <row r="58" spans="2:8" x14ac:dyDescent="0.25">
      <c r="B58" s="236" t="s">
        <v>144</v>
      </c>
      <c r="C58" s="266"/>
      <c r="D58" s="266"/>
      <c r="E58" s="266"/>
      <c r="F58" s="267"/>
      <c r="G58" s="138">
        <f>Ressources!P53</f>
        <v>125400</v>
      </c>
      <c r="H58" s="153" t="s">
        <v>131</v>
      </c>
    </row>
    <row r="59" spans="2:8" x14ac:dyDescent="0.25">
      <c r="B59" s="220" t="s">
        <v>241</v>
      </c>
      <c r="C59" s="225"/>
      <c r="D59" s="225"/>
      <c r="E59" s="225"/>
      <c r="F59" s="226"/>
      <c r="G59" s="136">
        <v>0</v>
      </c>
      <c r="H59" s="150" t="s">
        <v>131</v>
      </c>
    </row>
    <row r="60" spans="2:8" x14ac:dyDescent="0.25">
      <c r="B60" s="220" t="s">
        <v>240</v>
      </c>
      <c r="C60" s="225"/>
      <c r="D60" s="225"/>
      <c r="E60" s="225"/>
      <c r="F60" s="226"/>
      <c r="G60" s="136">
        <v>0</v>
      </c>
      <c r="H60" s="150" t="s">
        <v>131</v>
      </c>
    </row>
    <row r="61" spans="2:8" x14ac:dyDescent="0.25">
      <c r="B61" s="220" t="s">
        <v>239</v>
      </c>
      <c r="C61" s="225"/>
      <c r="D61" s="225"/>
      <c r="E61" s="225"/>
      <c r="F61" s="226"/>
      <c r="G61" s="136">
        <v>0</v>
      </c>
      <c r="H61" s="150" t="s">
        <v>131</v>
      </c>
    </row>
    <row r="62" spans="2:8" x14ac:dyDescent="0.25">
      <c r="B62" s="220" t="s">
        <v>238</v>
      </c>
      <c r="C62" s="225"/>
      <c r="D62" s="225"/>
      <c r="E62" s="225"/>
      <c r="F62" s="226"/>
      <c r="G62" s="137">
        <v>0</v>
      </c>
      <c r="H62" s="150" t="s">
        <v>131</v>
      </c>
    </row>
    <row r="63" spans="2:8" x14ac:dyDescent="0.25">
      <c r="B63" s="220" t="s">
        <v>229</v>
      </c>
      <c r="C63" s="225"/>
      <c r="D63" s="225"/>
      <c r="E63" s="225"/>
      <c r="F63" s="226"/>
      <c r="G63" s="137">
        <v>0</v>
      </c>
      <c r="H63" s="150" t="s">
        <v>131</v>
      </c>
    </row>
    <row r="64" spans="2:8" x14ac:dyDescent="0.25">
      <c r="B64" s="220" t="s">
        <v>219</v>
      </c>
      <c r="C64" s="225"/>
      <c r="D64" s="225"/>
      <c r="E64" s="225"/>
      <c r="F64" s="226"/>
      <c r="G64" s="137">
        <v>87000</v>
      </c>
      <c r="H64" s="150" t="s">
        <v>131</v>
      </c>
    </row>
    <row r="65" spans="2:13" x14ac:dyDescent="0.25">
      <c r="B65" s="220" t="s">
        <v>220</v>
      </c>
      <c r="C65" s="225"/>
      <c r="D65" s="225"/>
      <c r="E65" s="225"/>
      <c r="F65" s="226"/>
      <c r="G65" s="137">
        <v>0</v>
      </c>
      <c r="H65" s="150" t="s">
        <v>131</v>
      </c>
    </row>
    <row r="66" spans="2:13" x14ac:dyDescent="0.25">
      <c r="B66" s="236" t="s">
        <v>264</v>
      </c>
      <c r="C66" s="266"/>
      <c r="D66" s="266"/>
      <c r="E66" s="266"/>
      <c r="F66" s="267"/>
      <c r="G66" s="138">
        <f>Ressources!P61</f>
        <v>38400</v>
      </c>
      <c r="H66" s="153" t="s">
        <v>131</v>
      </c>
    </row>
    <row r="78" spans="2:13" ht="3.75" customHeight="1" x14ac:dyDescent="0.25">
      <c r="F78" t="s">
        <v>98</v>
      </c>
      <c r="G78" t="s">
        <v>311</v>
      </c>
      <c r="M78" t="s">
        <v>312</v>
      </c>
    </row>
    <row r="79" spans="2:13" ht="3.75" customHeight="1" x14ac:dyDescent="0.25">
      <c r="F79" s="111">
        <f>SMALL(G79:M79,1)</f>
        <v>1</v>
      </c>
      <c r="G79" s="111">
        <f t="shared" ref="G79:K79" si="1">TRUNC((G23/3),0)</f>
        <v>33</v>
      </c>
      <c r="H79" s="111">
        <f t="shared" si="1"/>
        <v>23</v>
      </c>
      <c r="I79" s="111">
        <f>TRUNC((I23/3),0)</f>
        <v>23</v>
      </c>
      <c r="J79" s="111">
        <f t="shared" si="1"/>
        <v>23</v>
      </c>
      <c r="K79" s="111">
        <f t="shared" si="1"/>
        <v>43</v>
      </c>
      <c r="L79" s="111">
        <f>TRUNC((L23/3),0)</f>
        <v>23</v>
      </c>
      <c r="M79" s="111">
        <f>I11</f>
        <v>1</v>
      </c>
    </row>
  </sheetData>
  <mergeCells count="50">
    <mergeCell ref="B65:F65"/>
    <mergeCell ref="B66:F66"/>
    <mergeCell ref="B59:F59"/>
    <mergeCell ref="B60:F60"/>
    <mergeCell ref="B61:F61"/>
    <mergeCell ref="B62:F62"/>
    <mergeCell ref="B63:F63"/>
    <mergeCell ref="B64:F64"/>
    <mergeCell ref="B58:F58"/>
    <mergeCell ref="B45:F45"/>
    <mergeCell ref="B46:F46"/>
    <mergeCell ref="B47:F47"/>
    <mergeCell ref="B50:F50"/>
    <mergeCell ref="B51:F51"/>
    <mergeCell ref="B52:F52"/>
    <mergeCell ref="B53:F53"/>
    <mergeCell ref="B54:F54"/>
    <mergeCell ref="B55:F55"/>
    <mergeCell ref="B56:F56"/>
    <mergeCell ref="B57:F57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0:F20"/>
    <mergeCell ref="B21:F21"/>
    <mergeCell ref="B22:F22"/>
    <mergeCell ref="G22:J22"/>
    <mergeCell ref="B23:F23"/>
    <mergeCell ref="B24:F24"/>
    <mergeCell ref="B25:F25"/>
    <mergeCell ref="B26:F26"/>
    <mergeCell ref="B27:F27"/>
    <mergeCell ref="B28:F28"/>
    <mergeCell ref="B31:F31"/>
    <mergeCell ref="B19:F19"/>
    <mergeCell ref="D10:G10"/>
    <mergeCell ref="D11:F11"/>
    <mergeCell ref="G16:I16"/>
    <mergeCell ref="K16:L16"/>
    <mergeCell ref="B18:F18"/>
  </mergeCells>
  <conditionalFormatting sqref="F13">
    <cfRule type="containsText" dxfId="17" priority="6" operator="containsText" text="Erreur !">
      <formula>NOT(ISERROR(SEARCH("Erreur !",F13)))</formula>
    </cfRule>
  </conditionalFormatting>
  <conditionalFormatting sqref="I11">
    <cfRule type="containsText" dxfId="16" priority="5" operator="containsText" text="Province ?">
      <formula>NOT(ISERROR(SEARCH("Province ?",I11)))</formula>
    </cfRule>
  </conditionalFormatting>
  <conditionalFormatting sqref="G66">
    <cfRule type="cellIs" dxfId="15" priority="1" operator="lessThan">
      <formula>0</formula>
    </cfRule>
  </conditionalFormatting>
  <conditionalFormatting sqref="G46">
    <cfRule type="cellIs" dxfId="14" priority="4" operator="equal">
      <formula>0</formula>
    </cfRule>
  </conditionalFormatting>
  <conditionalFormatting sqref="G39">
    <cfRule type="cellIs" dxfId="13" priority="3" operator="lessThan">
      <formula>0</formula>
    </cfRule>
  </conditionalFormatting>
  <conditionalFormatting sqref="G57">
    <cfRule type="cellIs" dxfId="12" priority="2" operator="equal">
      <formula>0</formula>
    </cfRule>
  </conditionalFormatting>
  <dataValidations count="6">
    <dataValidation type="whole" operator="greaterThanOrEqual" allowBlank="1" showInputMessage="1" showErrorMessage="1" errorTitle="Chiffre entiers uniquement" error="Les bataillons sont toujours décomptés en nombre entier positifs dans cette version du Wargame." sqref="G42 G53">
      <formula1>0</formula1>
    </dataValidation>
    <dataValidation type="whole" operator="greaterThanOrEqual" allowBlank="1" showInputMessage="1" showErrorMessage="1" errorTitle="Nombre entier uniquement" error="La trésorerie ne peut avoir qu'une valeur entière supérieure ou égale à 0." sqref="G31 G39:G41 G50 G66">
      <formula1>0</formula1>
    </dataValidation>
    <dataValidation type="whole" errorStyle="warning" operator="greaterThanOrEqual" allowBlank="1" showInputMessage="1" showErrorMessage="1" errorTitle="Nombre entier positif uniquement" error="Les mouvements d'argent doivent être indiqués en nombres positifs (soustraction automatique sur le solde)." sqref="G32:G38 G59:G65">
      <formula1>0</formula1>
    </dataValidation>
    <dataValidation errorStyle="information" allowBlank="1" showInputMessage="1" showErrorMessage="1" sqref="D11:F11"/>
    <dataValidation type="whole" errorStyle="warning" allowBlank="1" showInputMessage="1" showErrorMessage="1" errorTitle="Nombre non valide" error="Veuillez mettre un nombre entier compris entre 0 et le maximum de villes que vous pouvez alimenter en ressources." sqref="I12">
      <formula1>0</formula1>
      <formula2>I13</formula2>
    </dataValidation>
    <dataValidation type="whole" errorStyle="warning" operator="greaterThanOrEqual" allowBlank="1" showInputMessage="1" showErrorMessage="1" errorTitle="Nombre entier uniquement" error="Les stocks et variations de marchandises s'expriment uniquement en nombre entiers supérieurs ou égal à 0. Merci." sqref="K22 H21:L21 G18:L20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errorStyle="information" allowBlank="1" showInputMessage="1" showErrorMessage="1" errorTitle="Trop ou pas assez de nourriture" error="• Vous ne possèdez pas cette quantité de nourriture._x000a_• Ou vos soldats sont déjà intégralement payés avec autant de nourriture. Inutile de leur donner plus que le maximum demandé.">
          <x14:formula1>
            <xm:f>0</xm:f>
          </x14:formula1>
          <x14:formula2>
            <xm:f>Ressources!P164</xm:f>
          </x14:formula2>
          <xm:sqref>G25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9"/>
  <sheetViews>
    <sheetView workbookViewId="0">
      <selection activeCell="G25" sqref="G25"/>
    </sheetView>
  </sheetViews>
  <sheetFormatPr baseColWidth="10" defaultRowHeight="15" x14ac:dyDescent="0.25"/>
  <cols>
    <col min="1" max="1" width="1.42578125" customWidth="1"/>
    <col min="5" max="5" width="2.85546875" customWidth="1"/>
    <col min="6" max="6" width="8.5703125" customWidth="1"/>
    <col min="7" max="12" width="10.7109375" customWidth="1"/>
  </cols>
  <sheetData>
    <row r="1" spans="2:12" ht="18.75" x14ac:dyDescent="0.3">
      <c r="B1" s="205" t="s">
        <v>279</v>
      </c>
    </row>
    <row r="2" spans="2:12" x14ac:dyDescent="0.25">
      <c r="B2" s="186"/>
    </row>
    <row r="3" spans="2:12" x14ac:dyDescent="0.25">
      <c r="B3" t="s">
        <v>275</v>
      </c>
    </row>
    <row r="4" spans="2:12" x14ac:dyDescent="0.25">
      <c r="B4" t="s">
        <v>288</v>
      </c>
    </row>
    <row r="5" spans="2:12" x14ac:dyDescent="0.25">
      <c r="B5" t="s">
        <v>273</v>
      </c>
    </row>
    <row r="6" spans="2:12" x14ac:dyDescent="0.25">
      <c r="B6" t="s">
        <v>274</v>
      </c>
    </row>
    <row r="7" spans="2:12" x14ac:dyDescent="0.25">
      <c r="B7" t="s">
        <v>289</v>
      </c>
    </row>
    <row r="9" spans="2:12" ht="15.75" x14ac:dyDescent="0.25">
      <c r="B9" s="125" t="s">
        <v>202</v>
      </c>
    </row>
    <row r="10" spans="2:12" x14ac:dyDescent="0.25">
      <c r="B10" s="8" t="s">
        <v>92</v>
      </c>
      <c r="D10" s="301" t="s">
        <v>79</v>
      </c>
      <c r="E10" s="302"/>
      <c r="F10" s="302"/>
      <c r="G10" s="303"/>
      <c r="J10" s="126" t="s">
        <v>277</v>
      </c>
    </row>
    <row r="11" spans="2:12" x14ac:dyDescent="0.25">
      <c r="B11" t="s">
        <v>93</v>
      </c>
      <c r="D11" s="274" t="str">
        <f>Ressources!G7</f>
        <v>4E 217</v>
      </c>
      <c r="E11" s="275"/>
      <c r="F11" s="276"/>
      <c r="H11" s="142" t="s">
        <v>255</v>
      </c>
      <c r="I11" s="83">
        <f>Ressources!H179</f>
        <v>2</v>
      </c>
      <c r="J11" s="12"/>
    </row>
    <row r="12" spans="2:12" x14ac:dyDescent="0.25">
      <c r="H12" s="154" t="s">
        <v>257</v>
      </c>
      <c r="I12" s="82">
        <v>2</v>
      </c>
      <c r="J12" s="126" t="s">
        <v>266</v>
      </c>
      <c r="K12" s="8"/>
    </row>
    <row r="13" spans="2:12" x14ac:dyDescent="0.25">
      <c r="D13" s="142" t="s">
        <v>182</v>
      </c>
      <c r="E13" s="130" t="s">
        <v>181</v>
      </c>
      <c r="F13" s="131">
        <f>IF(I11&lt;I12,"Erreur !",I12*2.5/I11)</f>
        <v>2.5</v>
      </c>
      <c r="H13" s="142" t="s">
        <v>180</v>
      </c>
      <c r="I13" s="117">
        <f>F79</f>
        <v>2</v>
      </c>
      <c r="J13" t="s">
        <v>256</v>
      </c>
    </row>
    <row r="15" spans="2:12" ht="15.75" x14ac:dyDescent="0.25">
      <c r="B15" s="125" t="s">
        <v>320</v>
      </c>
    </row>
    <row r="16" spans="2:12" x14ac:dyDescent="0.25">
      <c r="G16" s="220" t="s">
        <v>233</v>
      </c>
      <c r="H16" s="225"/>
      <c r="I16" s="226"/>
      <c r="J16" s="147">
        <f>Ressources!O11</f>
        <v>250</v>
      </c>
      <c r="K16" s="220" t="s">
        <v>234</v>
      </c>
      <c r="L16" s="226"/>
    </row>
    <row r="17" spans="2:12" x14ac:dyDescent="0.25">
      <c r="B17" s="13"/>
      <c r="G17" s="180" t="s">
        <v>7</v>
      </c>
      <c r="H17" s="180" t="s">
        <v>8</v>
      </c>
      <c r="I17" s="140" t="s">
        <v>9</v>
      </c>
      <c r="J17" s="140" t="s">
        <v>169</v>
      </c>
      <c r="K17" s="140" t="s">
        <v>170</v>
      </c>
      <c r="L17" s="140" t="s">
        <v>84</v>
      </c>
    </row>
    <row r="18" spans="2:12" x14ac:dyDescent="0.25">
      <c r="B18" s="235" t="s">
        <v>210</v>
      </c>
      <c r="C18" s="235"/>
      <c r="D18" s="235"/>
      <c r="E18" s="235"/>
      <c r="F18" s="235"/>
      <c r="G18" s="177">
        <v>10</v>
      </c>
      <c r="H18" s="177">
        <v>10</v>
      </c>
      <c r="I18" s="128">
        <v>10</v>
      </c>
      <c r="J18" s="128">
        <v>10</v>
      </c>
      <c r="K18" s="128">
        <v>10</v>
      </c>
      <c r="L18" s="128">
        <v>10</v>
      </c>
    </row>
    <row r="19" spans="2:12" x14ac:dyDescent="0.25">
      <c r="B19" s="219" t="s">
        <v>208</v>
      </c>
      <c r="C19" s="219"/>
      <c r="D19" s="219"/>
      <c r="E19" s="219"/>
      <c r="F19" s="219"/>
      <c r="G19" s="184">
        <v>110</v>
      </c>
      <c r="H19" s="184">
        <v>110</v>
      </c>
      <c r="I19" s="107">
        <v>110</v>
      </c>
      <c r="J19" s="107">
        <v>110</v>
      </c>
      <c r="K19" s="107">
        <v>210</v>
      </c>
      <c r="L19" s="107">
        <v>110</v>
      </c>
    </row>
    <row r="20" spans="2:12" x14ac:dyDescent="0.25">
      <c r="B20" s="219" t="s">
        <v>209</v>
      </c>
      <c r="C20" s="219"/>
      <c r="D20" s="219"/>
      <c r="E20" s="219"/>
      <c r="F20" s="219"/>
      <c r="G20" s="181">
        <v>20</v>
      </c>
      <c r="H20" s="181">
        <v>20</v>
      </c>
      <c r="I20" s="108">
        <v>20</v>
      </c>
      <c r="J20" s="108">
        <v>20</v>
      </c>
      <c r="K20" s="108">
        <v>20</v>
      </c>
      <c r="L20" s="108">
        <v>20</v>
      </c>
    </row>
    <row r="21" spans="2:12" x14ac:dyDescent="0.25">
      <c r="B21" s="219" t="s">
        <v>190</v>
      </c>
      <c r="C21" s="219"/>
      <c r="D21" s="219"/>
      <c r="E21" s="219"/>
      <c r="F21" s="219"/>
      <c r="G21" s="182"/>
      <c r="H21" s="181">
        <v>30</v>
      </c>
      <c r="I21" s="108">
        <v>30</v>
      </c>
      <c r="J21" s="108">
        <v>30</v>
      </c>
      <c r="K21" s="108">
        <v>30</v>
      </c>
      <c r="L21" s="108">
        <v>30</v>
      </c>
    </row>
    <row r="22" spans="2:12" x14ac:dyDescent="0.25">
      <c r="B22" s="219" t="s">
        <v>194</v>
      </c>
      <c r="C22" s="219"/>
      <c r="D22" s="219"/>
      <c r="E22" s="219"/>
      <c r="F22" s="219"/>
      <c r="G22" s="220"/>
      <c r="H22" s="225"/>
      <c r="I22" s="225"/>
      <c r="J22" s="226"/>
      <c r="K22" s="108">
        <v>40</v>
      </c>
      <c r="L22" s="96"/>
    </row>
    <row r="23" spans="2:12" x14ac:dyDescent="0.25">
      <c r="B23" s="219" t="s">
        <v>193</v>
      </c>
      <c r="C23" s="219"/>
      <c r="D23" s="219"/>
      <c r="E23" s="219"/>
      <c r="F23" s="219"/>
      <c r="G23" s="200">
        <f>G18+G19-G20</f>
        <v>100</v>
      </c>
      <c r="H23" s="200">
        <f>H18+H19-H20-H21</f>
        <v>70</v>
      </c>
      <c r="I23" s="111">
        <f>I18+I19-I20-I21</f>
        <v>70</v>
      </c>
      <c r="J23" s="111">
        <f>J18+J19-J20-J21</f>
        <v>70</v>
      </c>
      <c r="K23" s="111">
        <f>K18+K19-K20-K21-K22</f>
        <v>130</v>
      </c>
      <c r="L23" s="111">
        <f>L18+L19-L20-L21-L22</f>
        <v>70</v>
      </c>
    </row>
    <row r="24" spans="2:12" x14ac:dyDescent="0.25">
      <c r="B24" s="219" t="s">
        <v>218</v>
      </c>
      <c r="C24" s="219"/>
      <c r="D24" s="219"/>
      <c r="E24" s="219"/>
      <c r="F24" s="219"/>
      <c r="G24" s="198">
        <f>3*$I12</f>
        <v>6</v>
      </c>
      <c r="H24" s="198">
        <f t="shared" ref="H24:L24" si="0">3*$I12</f>
        <v>6</v>
      </c>
      <c r="I24" s="198">
        <f t="shared" si="0"/>
        <v>6</v>
      </c>
      <c r="J24" s="198">
        <f t="shared" si="0"/>
        <v>6</v>
      </c>
      <c r="K24" s="198">
        <f t="shared" si="0"/>
        <v>6</v>
      </c>
      <c r="L24" s="110">
        <f t="shared" si="0"/>
        <v>6</v>
      </c>
    </row>
    <row r="25" spans="2:12" x14ac:dyDescent="0.25">
      <c r="B25" s="219" t="s">
        <v>128</v>
      </c>
      <c r="C25" s="219"/>
      <c r="D25" s="219"/>
      <c r="E25" s="219"/>
      <c r="F25" s="219"/>
      <c r="G25" s="181">
        <v>60</v>
      </c>
      <c r="H25" s="213" t="s">
        <v>196</v>
      </c>
      <c r="I25" s="118">
        <f>Ressources!M20</f>
        <v>60</v>
      </c>
      <c r="J25" s="115" t="s">
        <v>135</v>
      </c>
      <c r="K25" s="119"/>
      <c r="L25" s="85"/>
    </row>
    <row r="26" spans="2:12" x14ac:dyDescent="0.25">
      <c r="B26" s="219" t="s">
        <v>129</v>
      </c>
      <c r="C26" s="219"/>
      <c r="D26" s="219"/>
      <c r="E26" s="219"/>
      <c r="F26" s="219"/>
      <c r="G26" s="214">
        <f>Ressources!J21</f>
        <v>64</v>
      </c>
      <c r="H26" s="214">
        <f>Ressources!L21</f>
        <v>28</v>
      </c>
      <c r="I26" s="109">
        <f>Ressources!N21</f>
        <v>32</v>
      </c>
      <c r="J26" s="109">
        <f>Ressources!O21</f>
        <v>0</v>
      </c>
      <c r="K26" s="109">
        <f>Ressources!P21</f>
        <v>24</v>
      </c>
      <c r="L26" s="109">
        <f>Ressources!Q21</f>
        <v>12</v>
      </c>
    </row>
    <row r="27" spans="2:12" x14ac:dyDescent="0.25">
      <c r="B27" s="219" t="s">
        <v>235</v>
      </c>
      <c r="C27" s="219"/>
      <c r="D27" s="219"/>
      <c r="E27" s="219"/>
      <c r="F27" s="219"/>
      <c r="G27" s="198">
        <f>IF(G23-G24+G26-G25&gt;$J16,G23-G24+G26-G25-$J16,0)</f>
        <v>0</v>
      </c>
      <c r="H27" s="198">
        <f>IF(H23-H24+H26&gt;$J16,H23-H24+H26-$J16,0)</f>
        <v>0</v>
      </c>
      <c r="I27" s="110">
        <f>IF(I23-I24+I26&gt;$J16,I23-I24+I26-$J16,0)</f>
        <v>0</v>
      </c>
      <c r="J27" s="110">
        <f>IF(J23-J24+J26&gt;$J16,J23-J24+J26-$J16,0)</f>
        <v>0</v>
      </c>
      <c r="K27" s="110">
        <f>IF(K23-K24+K26&gt;$J16,K23-K24+K26-$J16,0)</f>
        <v>0</v>
      </c>
      <c r="L27" s="110">
        <f>IF(L23-L24+L26&gt;$J16,L23-L24+L26-$J16,0)</f>
        <v>0</v>
      </c>
    </row>
    <row r="28" spans="2:12" x14ac:dyDescent="0.25">
      <c r="B28" s="235" t="s">
        <v>217</v>
      </c>
      <c r="C28" s="235"/>
      <c r="D28" s="235"/>
      <c r="E28" s="235"/>
      <c r="F28" s="235"/>
      <c r="G28" s="199">
        <f>G23-G24+G26-G25-G27</f>
        <v>98</v>
      </c>
      <c r="H28" s="199">
        <f>H23-H24+H26-H27</f>
        <v>92</v>
      </c>
      <c r="I28" s="129">
        <f>I23-I24+I26-I27</f>
        <v>96</v>
      </c>
      <c r="J28" s="129">
        <f>J23-J24+J26-J27</f>
        <v>64</v>
      </c>
      <c r="K28" s="129">
        <f>K23-K24+K26-K27</f>
        <v>148</v>
      </c>
      <c r="L28" s="129">
        <f>L23-L24+L26-L27</f>
        <v>76</v>
      </c>
    </row>
    <row r="30" spans="2:12" ht="15.75" x14ac:dyDescent="0.25">
      <c r="B30" s="146" t="str">
        <f>Ressources!C25</f>
        <v>Historique des finances du 1er Primétoile de l'année précédente au 1er Primétoile de l'année 4E 217 :</v>
      </c>
    </row>
    <row r="31" spans="2:12" x14ac:dyDescent="0.25">
      <c r="B31" s="236" t="s">
        <v>232</v>
      </c>
      <c r="C31" s="266"/>
      <c r="D31" s="266"/>
      <c r="E31" s="266"/>
      <c r="F31" s="267"/>
      <c r="G31" s="135">
        <v>204000</v>
      </c>
      <c r="H31" s="149" t="s">
        <v>131</v>
      </c>
    </row>
    <row r="32" spans="2:12" x14ac:dyDescent="0.25">
      <c r="B32" s="220" t="s">
        <v>241</v>
      </c>
      <c r="C32" s="225"/>
      <c r="D32" s="225"/>
      <c r="E32" s="225"/>
      <c r="F32" s="226"/>
      <c r="G32" s="136">
        <v>0</v>
      </c>
      <c r="H32" s="150" t="s">
        <v>131</v>
      </c>
    </row>
    <row r="33" spans="2:8" x14ac:dyDescent="0.25">
      <c r="B33" s="220" t="s">
        <v>240</v>
      </c>
      <c r="C33" s="225"/>
      <c r="D33" s="225"/>
      <c r="E33" s="225"/>
      <c r="F33" s="226"/>
      <c r="G33" s="136">
        <v>0</v>
      </c>
      <c r="H33" s="150" t="s">
        <v>131</v>
      </c>
    </row>
    <row r="34" spans="2:8" x14ac:dyDescent="0.25">
      <c r="B34" s="220" t="s">
        <v>239</v>
      </c>
      <c r="C34" s="225"/>
      <c r="D34" s="225"/>
      <c r="E34" s="225"/>
      <c r="F34" s="226"/>
      <c r="G34" s="136">
        <v>0</v>
      </c>
      <c r="H34" s="150" t="s">
        <v>131</v>
      </c>
    </row>
    <row r="35" spans="2:8" x14ac:dyDescent="0.25">
      <c r="B35" s="220" t="s">
        <v>238</v>
      </c>
      <c r="C35" s="225"/>
      <c r="D35" s="225"/>
      <c r="E35" s="225"/>
      <c r="F35" s="226"/>
      <c r="G35" s="137">
        <v>0</v>
      </c>
      <c r="H35" s="150" t="s">
        <v>131</v>
      </c>
    </row>
    <row r="36" spans="2:8" x14ac:dyDescent="0.25">
      <c r="B36" s="220" t="s">
        <v>229</v>
      </c>
      <c r="C36" s="225"/>
      <c r="D36" s="225"/>
      <c r="E36" s="225"/>
      <c r="F36" s="226"/>
      <c r="G36" s="137">
        <v>0</v>
      </c>
      <c r="H36" s="150" t="s">
        <v>131</v>
      </c>
    </row>
    <row r="37" spans="2:8" x14ac:dyDescent="0.25">
      <c r="B37" s="220" t="s">
        <v>219</v>
      </c>
      <c r="C37" s="225"/>
      <c r="D37" s="225"/>
      <c r="E37" s="225"/>
      <c r="F37" s="226"/>
      <c r="G37" s="137">
        <v>160000</v>
      </c>
      <c r="H37" s="150" t="s">
        <v>131</v>
      </c>
    </row>
    <row r="38" spans="2:8" x14ac:dyDescent="0.25">
      <c r="B38" s="220" t="s">
        <v>220</v>
      </c>
      <c r="C38" s="225"/>
      <c r="D38" s="225"/>
      <c r="E38" s="225"/>
      <c r="F38" s="226"/>
      <c r="G38" s="137">
        <v>0</v>
      </c>
      <c r="H38" s="150" t="s">
        <v>131</v>
      </c>
    </row>
    <row r="39" spans="2:8" x14ac:dyDescent="0.25">
      <c r="B39" s="236" t="s">
        <v>143</v>
      </c>
      <c r="C39" s="266"/>
      <c r="D39" s="266"/>
      <c r="E39" s="266"/>
      <c r="F39" s="267"/>
      <c r="G39" s="138">
        <f>Ressources!P34</f>
        <v>48750</v>
      </c>
      <c r="H39" s="153" t="s">
        <v>131</v>
      </c>
    </row>
    <row r="40" spans="2:8" x14ac:dyDescent="0.25">
      <c r="B40" s="220" t="s">
        <v>130</v>
      </c>
      <c r="C40" s="225"/>
      <c r="D40" s="225"/>
      <c r="E40" s="225"/>
      <c r="F40" s="226"/>
      <c r="G40" s="132">
        <f>Ressources!P35</f>
        <v>87500</v>
      </c>
      <c r="H40" s="151" t="s">
        <v>131</v>
      </c>
    </row>
    <row r="41" spans="2:8" x14ac:dyDescent="0.25">
      <c r="B41" s="220" t="s">
        <v>236</v>
      </c>
      <c r="C41" s="225"/>
      <c r="D41" s="225"/>
      <c r="E41" s="225"/>
      <c r="F41" s="226"/>
      <c r="G41" s="132">
        <f>TRUNC(G27+H27+I27+J27+K27+L27)*250</f>
        <v>0</v>
      </c>
      <c r="H41" s="151" t="s">
        <v>131</v>
      </c>
    </row>
    <row r="42" spans="2:8" x14ac:dyDescent="0.25">
      <c r="B42" s="220" t="s">
        <v>179</v>
      </c>
      <c r="C42" s="225"/>
      <c r="D42" s="225"/>
      <c r="E42" s="225"/>
      <c r="F42" s="226"/>
      <c r="G42" s="121">
        <v>141</v>
      </c>
      <c r="H42" s="150" t="s">
        <v>191</v>
      </c>
    </row>
    <row r="43" spans="2:8" x14ac:dyDescent="0.25">
      <c r="B43" s="220" t="s">
        <v>132</v>
      </c>
      <c r="C43" s="225"/>
      <c r="D43" s="225"/>
      <c r="E43" s="225"/>
      <c r="F43" s="226"/>
      <c r="G43" s="155">
        <f>G42*200</f>
        <v>28200</v>
      </c>
      <c r="H43" s="151" t="s">
        <v>131</v>
      </c>
    </row>
    <row r="44" spans="2:8" x14ac:dyDescent="0.25">
      <c r="B44" s="220" t="s">
        <v>192</v>
      </c>
      <c r="C44" s="225"/>
      <c r="D44" s="225"/>
      <c r="E44" s="225"/>
      <c r="F44" s="226"/>
      <c r="G44" s="132">
        <f>Ressources!P39</f>
        <v>60000</v>
      </c>
      <c r="H44" s="151" t="s">
        <v>131</v>
      </c>
    </row>
    <row r="45" spans="2:8" x14ac:dyDescent="0.25">
      <c r="B45" s="220" t="s">
        <v>133</v>
      </c>
      <c r="C45" s="225"/>
      <c r="D45" s="225"/>
      <c r="E45" s="225"/>
      <c r="F45" s="226"/>
      <c r="G45" s="156">
        <f>Ressources!P40</f>
        <v>0</v>
      </c>
      <c r="H45" s="151" t="s">
        <v>131</v>
      </c>
    </row>
    <row r="46" spans="2:8" x14ac:dyDescent="0.25">
      <c r="B46" s="220" t="s">
        <v>134</v>
      </c>
      <c r="C46" s="225"/>
      <c r="D46" s="225"/>
      <c r="E46" s="225"/>
      <c r="F46" s="226"/>
      <c r="G46" s="156">
        <f>Ressources!P41</f>
        <v>87500</v>
      </c>
      <c r="H46" s="152" t="s">
        <v>131</v>
      </c>
    </row>
    <row r="47" spans="2:8" x14ac:dyDescent="0.25">
      <c r="B47" s="236" t="s">
        <v>144</v>
      </c>
      <c r="C47" s="266"/>
      <c r="D47" s="266"/>
      <c r="E47" s="266"/>
      <c r="F47" s="267"/>
      <c r="G47" s="138">
        <f>Ressources!P42</f>
        <v>136250</v>
      </c>
      <c r="H47" s="153" t="s">
        <v>131</v>
      </c>
    </row>
    <row r="48" spans="2:8" x14ac:dyDescent="0.25">
      <c r="B48" s="139"/>
      <c r="C48" s="139"/>
      <c r="D48" s="139"/>
      <c r="E48" s="139"/>
      <c r="F48" s="139"/>
    </row>
    <row r="49" spans="2:8" ht="15.75" x14ac:dyDescent="0.25">
      <c r="B49" s="146" t="str">
        <f>Ressources!I44</f>
        <v>Historique des finances de l'année 4E 217 :</v>
      </c>
    </row>
    <row r="50" spans="2:8" x14ac:dyDescent="0.25">
      <c r="B50" s="236" t="s">
        <v>143</v>
      </c>
      <c r="C50" s="266"/>
      <c r="D50" s="266"/>
      <c r="E50" s="266"/>
      <c r="F50" s="267"/>
      <c r="G50" s="135">
        <v>37900</v>
      </c>
      <c r="H50" s="149" t="s">
        <v>131</v>
      </c>
    </row>
    <row r="51" spans="2:8" x14ac:dyDescent="0.25">
      <c r="B51" s="220" t="s">
        <v>130</v>
      </c>
      <c r="C51" s="225"/>
      <c r="D51" s="225"/>
      <c r="E51" s="225"/>
      <c r="F51" s="226"/>
      <c r="G51" s="132">
        <f>Ressources!P46</f>
        <v>87500</v>
      </c>
      <c r="H51" s="151" t="s">
        <v>131</v>
      </c>
    </row>
    <row r="52" spans="2:8" x14ac:dyDescent="0.25">
      <c r="B52" s="220" t="s">
        <v>236</v>
      </c>
      <c r="C52" s="225"/>
      <c r="D52" s="225"/>
      <c r="E52" s="225"/>
      <c r="F52" s="226"/>
      <c r="G52" s="132">
        <f>TRUNC(G27+H27+I27+J27+K27+L27)*250</f>
        <v>0</v>
      </c>
      <c r="H52" s="151" t="s">
        <v>131</v>
      </c>
    </row>
    <row r="53" spans="2:8" x14ac:dyDescent="0.25">
      <c r="B53" s="220" t="s">
        <v>179</v>
      </c>
      <c r="C53" s="225"/>
      <c r="D53" s="225"/>
      <c r="E53" s="225"/>
      <c r="F53" s="226"/>
      <c r="G53" s="121">
        <v>55</v>
      </c>
      <c r="H53" s="150" t="s">
        <v>191</v>
      </c>
    </row>
    <row r="54" spans="2:8" x14ac:dyDescent="0.25">
      <c r="B54" s="220" t="s">
        <v>132</v>
      </c>
      <c r="C54" s="225"/>
      <c r="D54" s="225"/>
      <c r="E54" s="225"/>
      <c r="F54" s="226"/>
      <c r="G54" s="155">
        <f>Ressources!P49</f>
        <v>60000</v>
      </c>
      <c r="H54" s="151" t="s">
        <v>131</v>
      </c>
    </row>
    <row r="55" spans="2:8" x14ac:dyDescent="0.25">
      <c r="B55" s="220" t="s">
        <v>192</v>
      </c>
      <c r="C55" s="225"/>
      <c r="D55" s="225"/>
      <c r="E55" s="225"/>
      <c r="F55" s="226"/>
      <c r="G55" s="132">
        <f>Ressources!P50</f>
        <v>60000</v>
      </c>
      <c r="H55" s="151" t="s">
        <v>131</v>
      </c>
    </row>
    <row r="56" spans="2:8" x14ac:dyDescent="0.25">
      <c r="B56" s="220" t="s">
        <v>133</v>
      </c>
      <c r="C56" s="225"/>
      <c r="D56" s="225"/>
      <c r="E56" s="225"/>
      <c r="F56" s="226"/>
      <c r="G56" s="156">
        <f>Ressources!P51</f>
        <v>0</v>
      </c>
      <c r="H56" s="151" t="s">
        <v>131</v>
      </c>
    </row>
    <row r="57" spans="2:8" x14ac:dyDescent="0.25">
      <c r="B57" s="220" t="s">
        <v>134</v>
      </c>
      <c r="C57" s="225"/>
      <c r="D57" s="225"/>
      <c r="E57" s="225"/>
      <c r="F57" s="226"/>
      <c r="G57" s="156">
        <f>Ressources!P52</f>
        <v>87500</v>
      </c>
      <c r="H57" s="152" t="s">
        <v>131</v>
      </c>
    </row>
    <row r="58" spans="2:8" x14ac:dyDescent="0.25">
      <c r="B58" s="236" t="s">
        <v>144</v>
      </c>
      <c r="C58" s="266"/>
      <c r="D58" s="266"/>
      <c r="E58" s="266"/>
      <c r="F58" s="267"/>
      <c r="G58" s="138">
        <f>Ressources!P53</f>
        <v>125400</v>
      </c>
      <c r="H58" s="153" t="s">
        <v>131</v>
      </c>
    </row>
    <row r="59" spans="2:8" x14ac:dyDescent="0.25">
      <c r="B59" s="220" t="s">
        <v>241</v>
      </c>
      <c r="C59" s="225"/>
      <c r="D59" s="225"/>
      <c r="E59" s="225"/>
      <c r="F59" s="226"/>
      <c r="G59" s="136">
        <v>0</v>
      </c>
      <c r="H59" s="150" t="s">
        <v>131</v>
      </c>
    </row>
    <row r="60" spans="2:8" x14ac:dyDescent="0.25">
      <c r="B60" s="220" t="s">
        <v>240</v>
      </c>
      <c r="C60" s="225"/>
      <c r="D60" s="225"/>
      <c r="E60" s="225"/>
      <c r="F60" s="226"/>
      <c r="G60" s="136">
        <v>0</v>
      </c>
      <c r="H60" s="150" t="s">
        <v>131</v>
      </c>
    </row>
    <row r="61" spans="2:8" x14ac:dyDescent="0.25">
      <c r="B61" s="220" t="s">
        <v>239</v>
      </c>
      <c r="C61" s="225"/>
      <c r="D61" s="225"/>
      <c r="E61" s="225"/>
      <c r="F61" s="226"/>
      <c r="G61" s="136">
        <v>0</v>
      </c>
      <c r="H61" s="150" t="s">
        <v>131</v>
      </c>
    </row>
    <row r="62" spans="2:8" x14ac:dyDescent="0.25">
      <c r="B62" s="220" t="s">
        <v>238</v>
      </c>
      <c r="C62" s="225"/>
      <c r="D62" s="225"/>
      <c r="E62" s="225"/>
      <c r="F62" s="226"/>
      <c r="G62" s="137">
        <v>0</v>
      </c>
      <c r="H62" s="150" t="s">
        <v>131</v>
      </c>
    </row>
    <row r="63" spans="2:8" x14ac:dyDescent="0.25">
      <c r="B63" s="220" t="s">
        <v>229</v>
      </c>
      <c r="C63" s="225"/>
      <c r="D63" s="225"/>
      <c r="E63" s="225"/>
      <c r="F63" s="226"/>
      <c r="G63" s="137">
        <v>0</v>
      </c>
      <c r="H63" s="150" t="s">
        <v>131</v>
      </c>
    </row>
    <row r="64" spans="2:8" x14ac:dyDescent="0.25">
      <c r="B64" s="220" t="s">
        <v>219</v>
      </c>
      <c r="C64" s="225"/>
      <c r="D64" s="225"/>
      <c r="E64" s="225"/>
      <c r="F64" s="226"/>
      <c r="G64" s="137">
        <v>87000</v>
      </c>
      <c r="H64" s="150" t="s">
        <v>131</v>
      </c>
    </row>
    <row r="65" spans="2:13" x14ac:dyDescent="0.25">
      <c r="B65" s="220" t="s">
        <v>220</v>
      </c>
      <c r="C65" s="225"/>
      <c r="D65" s="225"/>
      <c r="E65" s="225"/>
      <c r="F65" s="226"/>
      <c r="G65" s="137">
        <v>0</v>
      </c>
      <c r="H65" s="150" t="s">
        <v>131</v>
      </c>
    </row>
    <row r="66" spans="2:13" x14ac:dyDescent="0.25">
      <c r="B66" s="236" t="s">
        <v>264</v>
      </c>
      <c r="C66" s="266"/>
      <c r="D66" s="266"/>
      <c r="E66" s="266"/>
      <c r="F66" s="267"/>
      <c r="G66" s="138">
        <f>Ressources!P61</f>
        <v>38400</v>
      </c>
      <c r="H66" s="153" t="s">
        <v>131</v>
      </c>
    </row>
    <row r="78" spans="2:13" ht="3.75" customHeight="1" x14ac:dyDescent="0.25">
      <c r="F78" t="s">
        <v>98</v>
      </c>
      <c r="G78" t="s">
        <v>311</v>
      </c>
      <c r="M78" t="s">
        <v>312</v>
      </c>
    </row>
    <row r="79" spans="2:13" ht="3.75" customHeight="1" x14ac:dyDescent="0.25">
      <c r="F79" s="111">
        <f>SMALL(G79:M79,1)</f>
        <v>2</v>
      </c>
      <c r="G79" s="111">
        <f t="shared" ref="G79:K79" si="1">TRUNC((G23/3),0)</f>
        <v>33</v>
      </c>
      <c r="H79" s="111">
        <f t="shared" si="1"/>
        <v>23</v>
      </c>
      <c r="I79" s="111">
        <f>TRUNC((I23/3),0)</f>
        <v>23</v>
      </c>
      <c r="J79" s="111">
        <f t="shared" si="1"/>
        <v>23</v>
      </c>
      <c r="K79" s="111">
        <f t="shared" si="1"/>
        <v>43</v>
      </c>
      <c r="L79" s="111">
        <f>TRUNC((L23/3),0)</f>
        <v>23</v>
      </c>
      <c r="M79" s="111">
        <f>I11</f>
        <v>2</v>
      </c>
    </row>
  </sheetData>
  <mergeCells count="50">
    <mergeCell ref="B65:F65"/>
    <mergeCell ref="B66:F66"/>
    <mergeCell ref="B59:F59"/>
    <mergeCell ref="B60:F60"/>
    <mergeCell ref="B61:F61"/>
    <mergeCell ref="B62:F62"/>
    <mergeCell ref="B63:F63"/>
    <mergeCell ref="B64:F64"/>
    <mergeCell ref="B58:F58"/>
    <mergeCell ref="B45:F45"/>
    <mergeCell ref="B46:F46"/>
    <mergeCell ref="B47:F47"/>
    <mergeCell ref="B50:F50"/>
    <mergeCell ref="B51:F51"/>
    <mergeCell ref="B52:F52"/>
    <mergeCell ref="B53:F53"/>
    <mergeCell ref="B54:F54"/>
    <mergeCell ref="B55:F55"/>
    <mergeCell ref="B56:F56"/>
    <mergeCell ref="B57:F57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0:F20"/>
    <mergeCell ref="B21:F21"/>
    <mergeCell ref="B22:F22"/>
    <mergeCell ref="G22:J22"/>
    <mergeCell ref="B23:F23"/>
    <mergeCell ref="B24:F24"/>
    <mergeCell ref="B25:F25"/>
    <mergeCell ref="B26:F26"/>
    <mergeCell ref="B27:F27"/>
    <mergeCell ref="B28:F28"/>
    <mergeCell ref="B31:F31"/>
    <mergeCell ref="B19:F19"/>
    <mergeCell ref="D10:G10"/>
    <mergeCell ref="D11:F11"/>
    <mergeCell ref="G16:I16"/>
    <mergeCell ref="K16:L16"/>
    <mergeCell ref="B18:F18"/>
  </mergeCells>
  <conditionalFormatting sqref="F13">
    <cfRule type="containsText" dxfId="11" priority="6" operator="containsText" text="Erreur !">
      <formula>NOT(ISERROR(SEARCH("Erreur !",F13)))</formula>
    </cfRule>
  </conditionalFormatting>
  <conditionalFormatting sqref="I11">
    <cfRule type="containsText" dxfId="10" priority="5" operator="containsText" text="Province ?">
      <formula>NOT(ISERROR(SEARCH("Province ?",I11)))</formula>
    </cfRule>
  </conditionalFormatting>
  <conditionalFormatting sqref="G66">
    <cfRule type="cellIs" dxfId="9" priority="1" operator="lessThan">
      <formula>0</formula>
    </cfRule>
  </conditionalFormatting>
  <conditionalFormatting sqref="G46">
    <cfRule type="cellIs" dxfId="8" priority="4" operator="equal">
      <formula>0</formula>
    </cfRule>
  </conditionalFormatting>
  <conditionalFormatting sqref="G39">
    <cfRule type="cellIs" dxfId="7" priority="3" operator="lessThan">
      <formula>0</formula>
    </cfRule>
  </conditionalFormatting>
  <conditionalFormatting sqref="G57">
    <cfRule type="cellIs" dxfId="6" priority="2" operator="equal">
      <formula>0</formula>
    </cfRule>
  </conditionalFormatting>
  <dataValidations count="6">
    <dataValidation type="whole" operator="greaterThanOrEqual" allowBlank="1" showInputMessage="1" showErrorMessage="1" errorTitle="Chiffre entiers uniquement" error="Les bataillons sont toujours décomptés en nombre entier positifs dans cette version du Wargame." sqref="G42 G53">
      <formula1>0</formula1>
    </dataValidation>
    <dataValidation type="whole" operator="greaterThanOrEqual" allowBlank="1" showInputMessage="1" showErrorMessage="1" errorTitle="Nombre entier uniquement" error="La trésorerie ne peut avoir qu'une valeur entière supérieure ou égale à 0." sqref="G31 G39:G41 G50 G66">
      <formula1>0</formula1>
    </dataValidation>
    <dataValidation type="whole" errorStyle="warning" operator="greaterThanOrEqual" allowBlank="1" showInputMessage="1" showErrorMessage="1" errorTitle="Nombre entier positif uniquement" error="Les mouvements d'argent doivent être indiqués en nombres positifs (soustraction automatique sur le solde)." sqref="G32:G38 G59:G65">
      <formula1>0</formula1>
    </dataValidation>
    <dataValidation errorStyle="information" allowBlank="1" showInputMessage="1" showErrorMessage="1" sqref="D11:F11"/>
    <dataValidation type="whole" errorStyle="warning" allowBlank="1" showInputMessage="1" showErrorMessage="1" errorTitle="Nombre non valide" error="Veuillez mettre un nombre entier compris entre 0 et le maximum de villes que vous pouvez alimenter en ressources." sqref="I12">
      <formula1>0</formula1>
      <formula2>I13</formula2>
    </dataValidation>
    <dataValidation type="whole" errorStyle="warning" operator="greaterThanOrEqual" allowBlank="1" showInputMessage="1" showErrorMessage="1" errorTitle="Nombre entier uniquement" error="Les stocks et variations de marchandises s'expriment uniquement en nombre entiers supérieurs ou égal à 0. Merci." sqref="K22 H21:L21 G18:L20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errorStyle="information" allowBlank="1" showInputMessage="1" showErrorMessage="1" errorTitle="Trop ou pas assez de nourriture" error="• Vous ne possèdez pas cette quantité de nourriture._x000a_• Ou vos soldats sont déjà intégralement payés avec autant de nourriture. Inutile de leur donner plus que le maximum demandé.">
          <x14:formula1>
            <xm:f>0</xm:f>
          </x14:formula1>
          <x14:formula2>
            <xm:f>Ressources!P164</xm:f>
          </x14:formula2>
          <xm:sqref>G25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9"/>
  <sheetViews>
    <sheetView workbookViewId="0">
      <selection activeCell="G25" sqref="G25"/>
    </sheetView>
  </sheetViews>
  <sheetFormatPr baseColWidth="10" defaultRowHeight="15" x14ac:dyDescent="0.25"/>
  <cols>
    <col min="1" max="1" width="1.42578125" customWidth="1"/>
    <col min="5" max="5" width="2.85546875" customWidth="1"/>
    <col min="6" max="6" width="8.5703125" customWidth="1"/>
    <col min="7" max="12" width="10.7109375" customWidth="1"/>
  </cols>
  <sheetData>
    <row r="1" spans="2:12" ht="18.75" x14ac:dyDescent="0.3">
      <c r="B1" s="204" t="s">
        <v>276</v>
      </c>
    </row>
    <row r="2" spans="2:12" x14ac:dyDescent="0.25">
      <c r="B2" s="197"/>
    </row>
    <row r="3" spans="2:12" x14ac:dyDescent="0.25">
      <c r="B3" t="s">
        <v>275</v>
      </c>
    </row>
    <row r="4" spans="2:12" x14ac:dyDescent="0.25">
      <c r="B4" t="s">
        <v>287</v>
      </c>
    </row>
    <row r="5" spans="2:12" x14ac:dyDescent="0.25">
      <c r="B5" t="s">
        <v>273</v>
      </c>
    </row>
    <row r="6" spans="2:12" x14ac:dyDescent="0.25">
      <c r="B6" t="s">
        <v>274</v>
      </c>
    </row>
    <row r="7" spans="2:12" x14ac:dyDescent="0.25">
      <c r="B7" t="s">
        <v>290</v>
      </c>
    </row>
    <row r="9" spans="2:12" ht="15.75" x14ac:dyDescent="0.25">
      <c r="B9" s="125" t="s">
        <v>202</v>
      </c>
    </row>
    <row r="10" spans="2:12" x14ac:dyDescent="0.25">
      <c r="B10" s="8" t="s">
        <v>92</v>
      </c>
      <c r="D10" s="304" t="s">
        <v>70</v>
      </c>
      <c r="E10" s="305"/>
      <c r="F10" s="305"/>
      <c r="G10" s="306"/>
      <c r="J10" s="126" t="s">
        <v>277</v>
      </c>
    </row>
    <row r="11" spans="2:12" x14ac:dyDescent="0.25">
      <c r="B11" t="s">
        <v>93</v>
      </c>
      <c r="D11" s="274" t="str">
        <f>Ressources!G7</f>
        <v>4E 217</v>
      </c>
      <c r="E11" s="275"/>
      <c r="F11" s="276"/>
      <c r="H11" s="142" t="s">
        <v>255</v>
      </c>
      <c r="I11" s="83">
        <f>Ressources!H180</f>
        <v>8</v>
      </c>
      <c r="J11" s="12"/>
    </row>
    <row r="12" spans="2:12" x14ac:dyDescent="0.25">
      <c r="H12" s="154" t="s">
        <v>257</v>
      </c>
      <c r="I12" s="82">
        <v>8</v>
      </c>
      <c r="J12" s="126" t="s">
        <v>266</v>
      </c>
      <c r="K12" s="8"/>
    </row>
    <row r="13" spans="2:12" x14ac:dyDescent="0.25">
      <c r="D13" s="142" t="s">
        <v>182</v>
      </c>
      <c r="E13" s="130" t="s">
        <v>181</v>
      </c>
      <c r="F13" s="131">
        <f>IF(I11&lt;I12,"Erreur !",I12*2.5/I11)</f>
        <v>2.5</v>
      </c>
      <c r="H13" s="142" t="s">
        <v>180</v>
      </c>
      <c r="I13" s="117">
        <f>F79</f>
        <v>8</v>
      </c>
      <c r="J13" t="s">
        <v>256</v>
      </c>
    </row>
    <row r="15" spans="2:12" ht="15.75" x14ac:dyDescent="0.25">
      <c r="B15" s="125" t="s">
        <v>319</v>
      </c>
    </row>
    <row r="16" spans="2:12" x14ac:dyDescent="0.25">
      <c r="G16" s="220" t="s">
        <v>233</v>
      </c>
      <c r="H16" s="225"/>
      <c r="I16" s="226"/>
      <c r="J16" s="147">
        <f>Ressources!O11</f>
        <v>250</v>
      </c>
      <c r="K16" s="220" t="s">
        <v>234</v>
      </c>
      <c r="L16" s="226"/>
    </row>
    <row r="17" spans="2:12" x14ac:dyDescent="0.25">
      <c r="B17" s="13"/>
      <c r="G17" s="180" t="s">
        <v>7</v>
      </c>
      <c r="H17" s="180" t="s">
        <v>8</v>
      </c>
      <c r="I17" s="140" t="s">
        <v>9</v>
      </c>
      <c r="J17" s="140" t="s">
        <v>169</v>
      </c>
      <c r="K17" s="140" t="s">
        <v>170</v>
      </c>
      <c r="L17" s="140" t="s">
        <v>84</v>
      </c>
    </row>
    <row r="18" spans="2:12" x14ac:dyDescent="0.25">
      <c r="B18" s="235" t="s">
        <v>210</v>
      </c>
      <c r="C18" s="235"/>
      <c r="D18" s="235"/>
      <c r="E18" s="235"/>
      <c r="F18" s="235"/>
      <c r="G18" s="177">
        <v>11</v>
      </c>
      <c r="H18" s="177">
        <v>11</v>
      </c>
      <c r="I18" s="128">
        <v>11</v>
      </c>
      <c r="J18" s="128">
        <v>11</v>
      </c>
      <c r="K18" s="128">
        <v>11</v>
      </c>
      <c r="L18" s="128">
        <v>11</v>
      </c>
    </row>
    <row r="19" spans="2:12" x14ac:dyDescent="0.25">
      <c r="B19" s="219" t="s">
        <v>208</v>
      </c>
      <c r="C19" s="219"/>
      <c r="D19" s="219"/>
      <c r="E19" s="219"/>
      <c r="F19" s="219"/>
      <c r="G19" s="184">
        <v>111</v>
      </c>
      <c r="H19" s="184">
        <v>111</v>
      </c>
      <c r="I19" s="184">
        <v>111</v>
      </c>
      <c r="J19" s="107">
        <v>111</v>
      </c>
      <c r="K19" s="107">
        <v>211</v>
      </c>
      <c r="L19" s="107">
        <v>111</v>
      </c>
    </row>
    <row r="20" spans="2:12" x14ac:dyDescent="0.25">
      <c r="B20" s="219" t="s">
        <v>209</v>
      </c>
      <c r="C20" s="219"/>
      <c r="D20" s="219"/>
      <c r="E20" s="219"/>
      <c r="F20" s="219"/>
      <c r="G20" s="181">
        <v>21</v>
      </c>
      <c r="H20" s="181">
        <v>21</v>
      </c>
      <c r="I20" s="108">
        <v>21</v>
      </c>
      <c r="J20" s="108">
        <v>21</v>
      </c>
      <c r="K20" s="108">
        <v>21</v>
      </c>
      <c r="L20" s="108">
        <v>21</v>
      </c>
    </row>
    <row r="21" spans="2:12" x14ac:dyDescent="0.25">
      <c r="B21" s="219" t="s">
        <v>190</v>
      </c>
      <c r="C21" s="219"/>
      <c r="D21" s="219"/>
      <c r="E21" s="219"/>
      <c r="F21" s="219"/>
      <c r="G21" s="182"/>
      <c r="H21" s="181">
        <v>31</v>
      </c>
      <c r="I21" s="108">
        <v>31</v>
      </c>
      <c r="J21" s="108">
        <v>31</v>
      </c>
      <c r="K21" s="108">
        <v>31</v>
      </c>
      <c r="L21" s="108">
        <v>31</v>
      </c>
    </row>
    <row r="22" spans="2:12" x14ac:dyDescent="0.25">
      <c r="B22" s="219" t="s">
        <v>194</v>
      </c>
      <c r="C22" s="219"/>
      <c r="D22" s="219"/>
      <c r="E22" s="219"/>
      <c r="F22" s="219"/>
      <c r="G22" s="220"/>
      <c r="H22" s="225"/>
      <c r="I22" s="225"/>
      <c r="J22" s="226"/>
      <c r="K22" s="108">
        <v>41</v>
      </c>
      <c r="L22" s="96"/>
    </row>
    <row r="23" spans="2:12" x14ac:dyDescent="0.25">
      <c r="B23" s="219" t="s">
        <v>193</v>
      </c>
      <c r="C23" s="219"/>
      <c r="D23" s="219"/>
      <c r="E23" s="219"/>
      <c r="F23" s="219"/>
      <c r="G23" s="200">
        <f>G18+G19-G20</f>
        <v>101</v>
      </c>
      <c r="H23" s="200">
        <f>H18+H19-H20-H21</f>
        <v>70</v>
      </c>
      <c r="I23" s="111">
        <f>I18+I19-I20-I21</f>
        <v>70</v>
      </c>
      <c r="J23" s="111">
        <f>J18+J19-J20-J21</f>
        <v>70</v>
      </c>
      <c r="K23" s="111">
        <f>K18+K19-K20-K21-K22</f>
        <v>129</v>
      </c>
      <c r="L23" s="111">
        <f>L18+L19-L20-L21-L22</f>
        <v>70</v>
      </c>
    </row>
    <row r="24" spans="2:12" x14ac:dyDescent="0.25">
      <c r="B24" s="219" t="s">
        <v>218</v>
      </c>
      <c r="C24" s="219"/>
      <c r="D24" s="219"/>
      <c r="E24" s="219"/>
      <c r="F24" s="219"/>
      <c r="G24" s="198">
        <f>3*$I12</f>
        <v>24</v>
      </c>
      <c r="H24" s="198">
        <f t="shared" ref="H24:L24" si="0">3*$I12</f>
        <v>24</v>
      </c>
      <c r="I24" s="198">
        <f t="shared" si="0"/>
        <v>24</v>
      </c>
      <c r="J24" s="198">
        <f t="shared" si="0"/>
        <v>24</v>
      </c>
      <c r="K24" s="198">
        <f t="shared" si="0"/>
        <v>24</v>
      </c>
      <c r="L24" s="110">
        <f t="shared" si="0"/>
        <v>24</v>
      </c>
    </row>
    <row r="25" spans="2:12" x14ac:dyDescent="0.25">
      <c r="B25" s="219" t="s">
        <v>128</v>
      </c>
      <c r="C25" s="219"/>
      <c r="D25" s="219"/>
      <c r="E25" s="219"/>
      <c r="F25" s="219"/>
      <c r="G25" s="181">
        <v>60</v>
      </c>
      <c r="H25" s="213" t="s">
        <v>196</v>
      </c>
      <c r="I25" s="118">
        <f>Ressources!M20</f>
        <v>60</v>
      </c>
      <c r="J25" s="115" t="s">
        <v>135</v>
      </c>
      <c r="K25" s="119"/>
      <c r="L25" s="85"/>
    </row>
    <row r="26" spans="2:12" x14ac:dyDescent="0.25">
      <c r="B26" s="219" t="s">
        <v>129</v>
      </c>
      <c r="C26" s="219"/>
      <c r="D26" s="219"/>
      <c r="E26" s="219"/>
      <c r="F26" s="219"/>
      <c r="G26" s="214">
        <f>Ressources!J21</f>
        <v>64</v>
      </c>
      <c r="H26" s="214">
        <f>Ressources!L21</f>
        <v>28</v>
      </c>
      <c r="I26" s="109">
        <f>Ressources!N21</f>
        <v>32</v>
      </c>
      <c r="J26" s="109">
        <f>Ressources!O21</f>
        <v>0</v>
      </c>
      <c r="K26" s="109">
        <f>Ressources!P21</f>
        <v>24</v>
      </c>
      <c r="L26" s="109">
        <f>Ressources!Q21</f>
        <v>12</v>
      </c>
    </row>
    <row r="27" spans="2:12" x14ac:dyDescent="0.25">
      <c r="B27" s="219" t="s">
        <v>235</v>
      </c>
      <c r="C27" s="219"/>
      <c r="D27" s="219"/>
      <c r="E27" s="219"/>
      <c r="F27" s="219"/>
      <c r="G27" s="198">
        <f>IF(G23-G24+G26-G25&gt;$J16,G23-G24+G26-G25-$J16,0)</f>
        <v>0</v>
      </c>
      <c r="H27" s="198">
        <f>IF(H23-H24+H26&gt;$J16,H23-H24+H26-$J16,0)</f>
        <v>0</v>
      </c>
      <c r="I27" s="110">
        <f>IF(I23-I24+I26&gt;$J16,I23-I24+I26-$J16,0)</f>
        <v>0</v>
      </c>
      <c r="J27" s="110">
        <f>IF(J23-J24+J26&gt;$J16,J23-J24+J26-$J16,0)</f>
        <v>0</v>
      </c>
      <c r="K27" s="110">
        <f>IF(K23-K24+K26&gt;$J16,K23-K24+K26-$J16,0)</f>
        <v>0</v>
      </c>
      <c r="L27" s="110">
        <f>IF(L23-L24+L26&gt;$J16,L23-L24+L26-$J16,0)</f>
        <v>0</v>
      </c>
    </row>
    <row r="28" spans="2:12" x14ac:dyDescent="0.25">
      <c r="B28" s="235" t="s">
        <v>217</v>
      </c>
      <c r="C28" s="235"/>
      <c r="D28" s="235"/>
      <c r="E28" s="235"/>
      <c r="F28" s="235"/>
      <c r="G28" s="199">
        <f>G23-G24+G26-G25-G27</f>
        <v>81</v>
      </c>
      <c r="H28" s="199">
        <f>H23-H24+H26-H27</f>
        <v>74</v>
      </c>
      <c r="I28" s="129">
        <f>I23-I24+I26-I27</f>
        <v>78</v>
      </c>
      <c r="J28" s="129">
        <f>J23-J24+J26-J27</f>
        <v>46</v>
      </c>
      <c r="K28" s="129">
        <f>K23-K24+K26-K27</f>
        <v>129</v>
      </c>
      <c r="L28" s="129">
        <f>L23-L24+L26-L27</f>
        <v>58</v>
      </c>
    </row>
    <row r="30" spans="2:12" ht="15.75" x14ac:dyDescent="0.25">
      <c r="B30" s="146" t="str">
        <f>Ressources!C25</f>
        <v>Historique des finances du 1er Primétoile de l'année précédente au 1er Primétoile de l'année 4E 217 :</v>
      </c>
    </row>
    <row r="31" spans="2:12" x14ac:dyDescent="0.25">
      <c r="B31" s="236" t="s">
        <v>232</v>
      </c>
      <c r="C31" s="266"/>
      <c r="D31" s="266"/>
      <c r="E31" s="266"/>
      <c r="F31" s="267"/>
      <c r="G31" s="135">
        <v>204000</v>
      </c>
      <c r="H31" s="149" t="s">
        <v>131</v>
      </c>
    </row>
    <row r="32" spans="2:12" x14ac:dyDescent="0.25">
      <c r="B32" s="220" t="s">
        <v>241</v>
      </c>
      <c r="C32" s="225"/>
      <c r="D32" s="225"/>
      <c r="E32" s="225"/>
      <c r="F32" s="226"/>
      <c r="G32" s="136">
        <v>0</v>
      </c>
      <c r="H32" s="150" t="s">
        <v>131</v>
      </c>
    </row>
    <row r="33" spans="2:8" x14ac:dyDescent="0.25">
      <c r="B33" s="220" t="s">
        <v>240</v>
      </c>
      <c r="C33" s="225"/>
      <c r="D33" s="225"/>
      <c r="E33" s="225"/>
      <c r="F33" s="226"/>
      <c r="G33" s="136">
        <v>0</v>
      </c>
      <c r="H33" s="150" t="s">
        <v>131</v>
      </c>
    </row>
    <row r="34" spans="2:8" x14ac:dyDescent="0.25">
      <c r="B34" s="220" t="s">
        <v>239</v>
      </c>
      <c r="C34" s="225"/>
      <c r="D34" s="225"/>
      <c r="E34" s="225"/>
      <c r="F34" s="226"/>
      <c r="G34" s="136">
        <v>0</v>
      </c>
      <c r="H34" s="150" t="s">
        <v>131</v>
      </c>
    </row>
    <row r="35" spans="2:8" x14ac:dyDescent="0.25">
      <c r="B35" s="220" t="s">
        <v>238</v>
      </c>
      <c r="C35" s="225"/>
      <c r="D35" s="225"/>
      <c r="E35" s="225"/>
      <c r="F35" s="226"/>
      <c r="G35" s="137">
        <v>0</v>
      </c>
      <c r="H35" s="150" t="s">
        <v>131</v>
      </c>
    </row>
    <row r="36" spans="2:8" x14ac:dyDescent="0.25">
      <c r="B36" s="220" t="s">
        <v>229</v>
      </c>
      <c r="C36" s="225"/>
      <c r="D36" s="225"/>
      <c r="E36" s="225"/>
      <c r="F36" s="226"/>
      <c r="G36" s="137">
        <v>0</v>
      </c>
      <c r="H36" s="150" t="s">
        <v>131</v>
      </c>
    </row>
    <row r="37" spans="2:8" x14ac:dyDescent="0.25">
      <c r="B37" s="220" t="s">
        <v>219</v>
      </c>
      <c r="C37" s="225"/>
      <c r="D37" s="225"/>
      <c r="E37" s="225"/>
      <c r="F37" s="226"/>
      <c r="G37" s="137">
        <v>160000</v>
      </c>
      <c r="H37" s="150" t="s">
        <v>131</v>
      </c>
    </row>
    <row r="38" spans="2:8" x14ac:dyDescent="0.25">
      <c r="B38" s="220" t="s">
        <v>220</v>
      </c>
      <c r="C38" s="225"/>
      <c r="D38" s="225"/>
      <c r="E38" s="225"/>
      <c r="F38" s="226"/>
      <c r="G38" s="137">
        <v>0</v>
      </c>
      <c r="H38" s="150" t="s">
        <v>131</v>
      </c>
    </row>
    <row r="39" spans="2:8" x14ac:dyDescent="0.25">
      <c r="B39" s="236" t="s">
        <v>143</v>
      </c>
      <c r="C39" s="266"/>
      <c r="D39" s="266"/>
      <c r="E39" s="266"/>
      <c r="F39" s="267"/>
      <c r="G39" s="138">
        <f>Ressources!P34</f>
        <v>48750</v>
      </c>
      <c r="H39" s="153" t="s">
        <v>131</v>
      </c>
    </row>
    <row r="40" spans="2:8" x14ac:dyDescent="0.25">
      <c r="B40" s="220" t="s">
        <v>130</v>
      </c>
      <c r="C40" s="225"/>
      <c r="D40" s="225"/>
      <c r="E40" s="225"/>
      <c r="F40" s="226"/>
      <c r="G40" s="132">
        <f>Ressources!P35</f>
        <v>87500</v>
      </c>
      <c r="H40" s="151" t="s">
        <v>131</v>
      </c>
    </row>
    <row r="41" spans="2:8" x14ac:dyDescent="0.25">
      <c r="B41" s="220" t="s">
        <v>236</v>
      </c>
      <c r="C41" s="225"/>
      <c r="D41" s="225"/>
      <c r="E41" s="225"/>
      <c r="F41" s="226"/>
      <c r="G41" s="132">
        <f>TRUNC(G27+H27+I27+J27+K27+L27)*250</f>
        <v>0</v>
      </c>
      <c r="H41" s="151" t="s">
        <v>131</v>
      </c>
    </row>
    <row r="42" spans="2:8" x14ac:dyDescent="0.25">
      <c r="B42" s="220" t="s">
        <v>179</v>
      </c>
      <c r="C42" s="225"/>
      <c r="D42" s="225"/>
      <c r="E42" s="225"/>
      <c r="F42" s="226"/>
      <c r="G42" s="121">
        <v>141</v>
      </c>
      <c r="H42" s="150" t="s">
        <v>191</v>
      </c>
    </row>
    <row r="43" spans="2:8" x14ac:dyDescent="0.25">
      <c r="B43" s="220" t="s">
        <v>132</v>
      </c>
      <c r="C43" s="225"/>
      <c r="D43" s="225"/>
      <c r="E43" s="225"/>
      <c r="F43" s="226"/>
      <c r="G43" s="155">
        <f>G42*200</f>
        <v>28200</v>
      </c>
      <c r="H43" s="151" t="s">
        <v>131</v>
      </c>
    </row>
    <row r="44" spans="2:8" x14ac:dyDescent="0.25">
      <c r="B44" s="220" t="s">
        <v>192</v>
      </c>
      <c r="C44" s="225"/>
      <c r="D44" s="225"/>
      <c r="E44" s="225"/>
      <c r="F44" s="226"/>
      <c r="G44" s="132">
        <f>Ressources!P39</f>
        <v>60000</v>
      </c>
      <c r="H44" s="151" t="s">
        <v>131</v>
      </c>
    </row>
    <row r="45" spans="2:8" x14ac:dyDescent="0.25">
      <c r="B45" s="220" t="s">
        <v>133</v>
      </c>
      <c r="C45" s="225"/>
      <c r="D45" s="225"/>
      <c r="E45" s="225"/>
      <c r="F45" s="226"/>
      <c r="G45" s="156">
        <f>Ressources!P40</f>
        <v>0</v>
      </c>
      <c r="H45" s="151" t="s">
        <v>131</v>
      </c>
    </row>
    <row r="46" spans="2:8" x14ac:dyDescent="0.25">
      <c r="B46" s="220" t="s">
        <v>134</v>
      </c>
      <c r="C46" s="225"/>
      <c r="D46" s="225"/>
      <c r="E46" s="225"/>
      <c r="F46" s="226"/>
      <c r="G46" s="156">
        <f>Ressources!P41</f>
        <v>87500</v>
      </c>
      <c r="H46" s="152" t="s">
        <v>131</v>
      </c>
    </row>
    <row r="47" spans="2:8" x14ac:dyDescent="0.25">
      <c r="B47" s="236" t="s">
        <v>144</v>
      </c>
      <c r="C47" s="266"/>
      <c r="D47" s="266"/>
      <c r="E47" s="266"/>
      <c r="F47" s="267"/>
      <c r="G47" s="138">
        <f>Ressources!P42</f>
        <v>136250</v>
      </c>
      <c r="H47" s="153" t="s">
        <v>131</v>
      </c>
    </row>
    <row r="48" spans="2:8" x14ac:dyDescent="0.25">
      <c r="B48" s="139"/>
      <c r="C48" s="139"/>
      <c r="D48" s="139"/>
      <c r="E48" s="139"/>
      <c r="F48" s="139"/>
    </row>
    <row r="49" spans="2:8" ht="15.75" x14ac:dyDescent="0.25">
      <c r="B49" s="146" t="str">
        <f>Ressources!I44</f>
        <v>Historique des finances de l'année 4E 217 :</v>
      </c>
    </row>
    <row r="50" spans="2:8" x14ac:dyDescent="0.25">
      <c r="B50" s="236" t="s">
        <v>143</v>
      </c>
      <c r="C50" s="266"/>
      <c r="D50" s="266"/>
      <c r="E50" s="266"/>
      <c r="F50" s="267"/>
      <c r="G50" s="135">
        <v>37900</v>
      </c>
      <c r="H50" s="149" t="s">
        <v>131</v>
      </c>
    </row>
    <row r="51" spans="2:8" x14ac:dyDescent="0.25">
      <c r="B51" s="220" t="s">
        <v>130</v>
      </c>
      <c r="C51" s="225"/>
      <c r="D51" s="225"/>
      <c r="E51" s="225"/>
      <c r="F51" s="226"/>
      <c r="G51" s="132">
        <f>Ressources!P46</f>
        <v>87500</v>
      </c>
      <c r="H51" s="151" t="s">
        <v>131</v>
      </c>
    </row>
    <row r="52" spans="2:8" x14ac:dyDescent="0.25">
      <c r="B52" s="220" t="s">
        <v>236</v>
      </c>
      <c r="C52" s="225"/>
      <c r="D52" s="225"/>
      <c r="E52" s="225"/>
      <c r="F52" s="226"/>
      <c r="G52" s="132">
        <f>TRUNC(G27+H27+I27+J27+K27+L27)*250</f>
        <v>0</v>
      </c>
      <c r="H52" s="151" t="s">
        <v>131</v>
      </c>
    </row>
    <row r="53" spans="2:8" x14ac:dyDescent="0.25">
      <c r="B53" s="220" t="s">
        <v>179</v>
      </c>
      <c r="C53" s="225"/>
      <c r="D53" s="225"/>
      <c r="E53" s="225"/>
      <c r="F53" s="226"/>
      <c r="G53" s="121">
        <v>55</v>
      </c>
      <c r="H53" s="150" t="s">
        <v>191</v>
      </c>
    </row>
    <row r="54" spans="2:8" x14ac:dyDescent="0.25">
      <c r="B54" s="220" t="s">
        <v>132</v>
      </c>
      <c r="C54" s="225"/>
      <c r="D54" s="225"/>
      <c r="E54" s="225"/>
      <c r="F54" s="226"/>
      <c r="G54" s="155">
        <f>Ressources!P49</f>
        <v>60000</v>
      </c>
      <c r="H54" s="151" t="s">
        <v>131</v>
      </c>
    </row>
    <row r="55" spans="2:8" x14ac:dyDescent="0.25">
      <c r="B55" s="220" t="s">
        <v>192</v>
      </c>
      <c r="C55" s="225"/>
      <c r="D55" s="225"/>
      <c r="E55" s="225"/>
      <c r="F55" s="226"/>
      <c r="G55" s="132">
        <f>Ressources!P50</f>
        <v>60000</v>
      </c>
      <c r="H55" s="151" t="s">
        <v>131</v>
      </c>
    </row>
    <row r="56" spans="2:8" x14ac:dyDescent="0.25">
      <c r="B56" s="220" t="s">
        <v>133</v>
      </c>
      <c r="C56" s="225"/>
      <c r="D56" s="225"/>
      <c r="E56" s="225"/>
      <c r="F56" s="226"/>
      <c r="G56" s="156">
        <f>Ressources!P51</f>
        <v>0</v>
      </c>
      <c r="H56" s="151" t="s">
        <v>131</v>
      </c>
    </row>
    <row r="57" spans="2:8" x14ac:dyDescent="0.25">
      <c r="B57" s="220" t="s">
        <v>134</v>
      </c>
      <c r="C57" s="225"/>
      <c r="D57" s="225"/>
      <c r="E57" s="225"/>
      <c r="F57" s="226"/>
      <c r="G57" s="156">
        <f>Ressources!P52</f>
        <v>87500</v>
      </c>
      <c r="H57" s="152" t="s">
        <v>131</v>
      </c>
    </row>
    <row r="58" spans="2:8" x14ac:dyDescent="0.25">
      <c r="B58" s="236" t="s">
        <v>144</v>
      </c>
      <c r="C58" s="266"/>
      <c r="D58" s="266"/>
      <c r="E58" s="266"/>
      <c r="F58" s="267"/>
      <c r="G58" s="138">
        <f>Ressources!P53</f>
        <v>125400</v>
      </c>
      <c r="H58" s="153" t="s">
        <v>131</v>
      </c>
    </row>
    <row r="59" spans="2:8" x14ac:dyDescent="0.25">
      <c r="B59" s="220" t="s">
        <v>241</v>
      </c>
      <c r="C59" s="225"/>
      <c r="D59" s="225"/>
      <c r="E59" s="225"/>
      <c r="F59" s="226"/>
      <c r="G59" s="136">
        <v>0</v>
      </c>
      <c r="H59" s="150" t="s">
        <v>131</v>
      </c>
    </row>
    <row r="60" spans="2:8" x14ac:dyDescent="0.25">
      <c r="B60" s="220" t="s">
        <v>240</v>
      </c>
      <c r="C60" s="225"/>
      <c r="D60" s="225"/>
      <c r="E60" s="225"/>
      <c r="F60" s="226"/>
      <c r="G60" s="136">
        <v>0</v>
      </c>
      <c r="H60" s="150" t="s">
        <v>131</v>
      </c>
    </row>
    <row r="61" spans="2:8" x14ac:dyDescent="0.25">
      <c r="B61" s="220" t="s">
        <v>239</v>
      </c>
      <c r="C61" s="225"/>
      <c r="D61" s="225"/>
      <c r="E61" s="225"/>
      <c r="F61" s="226"/>
      <c r="G61" s="136">
        <v>0</v>
      </c>
      <c r="H61" s="150" t="s">
        <v>131</v>
      </c>
    </row>
    <row r="62" spans="2:8" x14ac:dyDescent="0.25">
      <c r="B62" s="220" t="s">
        <v>238</v>
      </c>
      <c r="C62" s="225"/>
      <c r="D62" s="225"/>
      <c r="E62" s="225"/>
      <c r="F62" s="226"/>
      <c r="G62" s="137">
        <v>0</v>
      </c>
      <c r="H62" s="150" t="s">
        <v>131</v>
      </c>
    </row>
    <row r="63" spans="2:8" x14ac:dyDescent="0.25">
      <c r="B63" s="220" t="s">
        <v>229</v>
      </c>
      <c r="C63" s="225"/>
      <c r="D63" s="225"/>
      <c r="E63" s="225"/>
      <c r="F63" s="226"/>
      <c r="G63" s="137">
        <v>0</v>
      </c>
      <c r="H63" s="150" t="s">
        <v>131</v>
      </c>
    </row>
    <row r="64" spans="2:8" x14ac:dyDescent="0.25">
      <c r="B64" s="220" t="s">
        <v>219</v>
      </c>
      <c r="C64" s="225"/>
      <c r="D64" s="225"/>
      <c r="E64" s="225"/>
      <c r="F64" s="226"/>
      <c r="G64" s="137">
        <v>87000</v>
      </c>
      <c r="H64" s="150" t="s">
        <v>131</v>
      </c>
    </row>
    <row r="65" spans="2:13" x14ac:dyDescent="0.25">
      <c r="B65" s="220" t="s">
        <v>220</v>
      </c>
      <c r="C65" s="225"/>
      <c r="D65" s="225"/>
      <c r="E65" s="225"/>
      <c r="F65" s="226"/>
      <c r="G65" s="137">
        <v>0</v>
      </c>
      <c r="H65" s="150" t="s">
        <v>131</v>
      </c>
    </row>
    <row r="66" spans="2:13" x14ac:dyDescent="0.25">
      <c r="B66" s="236" t="s">
        <v>264</v>
      </c>
      <c r="C66" s="266"/>
      <c r="D66" s="266"/>
      <c r="E66" s="266"/>
      <c r="F66" s="267"/>
      <c r="G66" s="138">
        <f>Ressources!P61</f>
        <v>38400</v>
      </c>
      <c r="H66" s="153" t="s">
        <v>131</v>
      </c>
    </row>
    <row r="78" spans="2:13" ht="3.75" customHeight="1" x14ac:dyDescent="0.25">
      <c r="F78" t="s">
        <v>98</v>
      </c>
      <c r="G78" t="s">
        <v>311</v>
      </c>
      <c r="M78" t="s">
        <v>312</v>
      </c>
    </row>
    <row r="79" spans="2:13" ht="3.75" customHeight="1" x14ac:dyDescent="0.25">
      <c r="F79" s="111">
        <f>SMALL(G79:M79,1)</f>
        <v>8</v>
      </c>
      <c r="G79" s="111">
        <f t="shared" ref="G79:K79" si="1">TRUNC((G23/3),0)</f>
        <v>33</v>
      </c>
      <c r="H79" s="111">
        <f t="shared" si="1"/>
        <v>23</v>
      </c>
      <c r="I79" s="111">
        <f>TRUNC((I23/3),0)</f>
        <v>23</v>
      </c>
      <c r="J79" s="111">
        <f t="shared" si="1"/>
        <v>23</v>
      </c>
      <c r="K79" s="111">
        <f t="shared" si="1"/>
        <v>43</v>
      </c>
      <c r="L79" s="111">
        <f>TRUNC((L23/3),0)</f>
        <v>23</v>
      </c>
      <c r="M79" s="111">
        <f>I11</f>
        <v>8</v>
      </c>
    </row>
  </sheetData>
  <mergeCells count="50">
    <mergeCell ref="B65:F65"/>
    <mergeCell ref="B66:F66"/>
    <mergeCell ref="B59:F59"/>
    <mergeCell ref="B60:F60"/>
    <mergeCell ref="B61:F61"/>
    <mergeCell ref="B62:F62"/>
    <mergeCell ref="B63:F63"/>
    <mergeCell ref="B64:F64"/>
    <mergeCell ref="B58:F58"/>
    <mergeCell ref="B45:F45"/>
    <mergeCell ref="B46:F46"/>
    <mergeCell ref="B47:F47"/>
    <mergeCell ref="B50:F50"/>
    <mergeCell ref="B51:F51"/>
    <mergeCell ref="B52:F52"/>
    <mergeCell ref="B53:F53"/>
    <mergeCell ref="B54:F54"/>
    <mergeCell ref="B55:F55"/>
    <mergeCell ref="B56:F56"/>
    <mergeCell ref="B57:F57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0:F20"/>
    <mergeCell ref="B21:F21"/>
    <mergeCell ref="B22:F22"/>
    <mergeCell ref="G22:J22"/>
    <mergeCell ref="B23:F23"/>
    <mergeCell ref="B24:F24"/>
    <mergeCell ref="B25:F25"/>
    <mergeCell ref="B26:F26"/>
    <mergeCell ref="B27:F27"/>
    <mergeCell ref="B28:F28"/>
    <mergeCell ref="B31:F31"/>
    <mergeCell ref="B19:F19"/>
    <mergeCell ref="D10:G10"/>
    <mergeCell ref="D11:F11"/>
    <mergeCell ref="G16:I16"/>
    <mergeCell ref="K16:L16"/>
    <mergeCell ref="B18:F18"/>
  </mergeCells>
  <conditionalFormatting sqref="F13">
    <cfRule type="containsText" dxfId="5" priority="6" operator="containsText" text="Erreur !">
      <formula>NOT(ISERROR(SEARCH("Erreur !",F13)))</formula>
    </cfRule>
  </conditionalFormatting>
  <conditionalFormatting sqref="I11">
    <cfRule type="containsText" dxfId="4" priority="5" operator="containsText" text="Province ?">
      <formula>NOT(ISERROR(SEARCH("Province ?",I11)))</formula>
    </cfRule>
  </conditionalFormatting>
  <conditionalFormatting sqref="G66">
    <cfRule type="cellIs" dxfId="3" priority="1" operator="lessThan">
      <formula>0</formula>
    </cfRule>
  </conditionalFormatting>
  <conditionalFormatting sqref="G46">
    <cfRule type="cellIs" dxfId="2" priority="4" operator="equal">
      <formula>0</formula>
    </cfRule>
  </conditionalFormatting>
  <conditionalFormatting sqref="G39">
    <cfRule type="cellIs" dxfId="1" priority="3" operator="lessThan">
      <formula>0</formula>
    </cfRule>
  </conditionalFormatting>
  <conditionalFormatting sqref="G57">
    <cfRule type="cellIs" dxfId="0" priority="2" operator="equal">
      <formula>0</formula>
    </cfRule>
  </conditionalFormatting>
  <dataValidations count="6">
    <dataValidation type="whole" operator="greaterThanOrEqual" allowBlank="1" showInputMessage="1" showErrorMessage="1" errorTitle="Chiffre entiers uniquement" error="Les bataillons sont toujours décomptés en nombre entier positifs dans cette version du Wargame." sqref="G42 G53">
      <formula1>0</formula1>
    </dataValidation>
    <dataValidation type="whole" operator="greaterThanOrEqual" allowBlank="1" showInputMessage="1" showErrorMessage="1" errorTitle="Nombre entier uniquement" error="La trésorerie ne peut avoir qu'une valeur entière supérieure ou égale à 0." sqref="G31 G39:G41 G50 G66">
      <formula1>0</formula1>
    </dataValidation>
    <dataValidation type="whole" errorStyle="warning" operator="greaterThanOrEqual" allowBlank="1" showInputMessage="1" showErrorMessage="1" errorTitle="Nombre entier positif uniquement" error="Les mouvements d'argent doivent être indiqués en nombres positifs (soustraction automatique sur le solde)." sqref="G32:G38 G59:G65">
      <formula1>0</formula1>
    </dataValidation>
    <dataValidation errorStyle="information" allowBlank="1" showInputMessage="1" showErrorMessage="1" sqref="D11:F11"/>
    <dataValidation type="whole" errorStyle="warning" allowBlank="1" showInputMessage="1" showErrorMessage="1" errorTitle="Nombre non valide" error="Veuillez mettre un nombre entier compris entre 0 et le maximum de villes que vous pouvez alimenter en ressources." sqref="I12">
      <formula1>0</formula1>
      <formula2>I13</formula2>
    </dataValidation>
    <dataValidation type="whole" errorStyle="warning" operator="greaterThanOrEqual" allowBlank="1" showInputMessage="1" showErrorMessage="1" errorTitle="Nombre entier uniquement" error="Les stocks et variations de marchandises s'expriment uniquement en nombre entiers supérieurs ou égal à 0. Merci." sqref="K22 H21:L21 G18:L20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errorStyle="information" allowBlank="1" showInputMessage="1" showErrorMessage="1" errorTitle="Trop ou pas assez de nourriture" error="• Vous ne possèdez pas cette quantité de nourriture._x000a_• Ou vos soldats sont déjà intégralement payés avec autant de nourriture. Inutile de leur donner plus que le maximum demandé.">
          <x14:formula1>
            <xm:f>0</xm:f>
          </x14:formula1>
          <x14:formula2>
            <xm:f>Ressources!P164</xm:f>
          </x14:formula2>
          <xm:sqref>G25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9"/>
  <sheetViews>
    <sheetView workbookViewId="0">
      <selection activeCell="N35" sqref="N35"/>
    </sheetView>
  </sheetViews>
  <sheetFormatPr baseColWidth="10" defaultRowHeight="15" x14ac:dyDescent="0.25"/>
  <cols>
    <col min="1" max="1" width="1.42578125" customWidth="1"/>
    <col min="5" max="5" width="2.85546875" customWidth="1"/>
    <col min="6" max="6" width="8.5703125" customWidth="1"/>
    <col min="7" max="12" width="10.7109375" customWidth="1"/>
  </cols>
  <sheetData>
    <row r="1" spans="2:12" ht="18.75" x14ac:dyDescent="0.3">
      <c r="B1" s="202" t="s">
        <v>271</v>
      </c>
    </row>
    <row r="2" spans="2:12" ht="15" customHeight="1" x14ac:dyDescent="0.25"/>
    <row r="3" spans="2:12" x14ac:dyDescent="0.25">
      <c r="B3" t="s">
        <v>275</v>
      </c>
    </row>
    <row r="4" spans="2:12" x14ac:dyDescent="0.25">
      <c r="B4" t="s">
        <v>313</v>
      </c>
    </row>
    <row r="5" spans="2:12" x14ac:dyDescent="0.25">
      <c r="B5" t="s">
        <v>273</v>
      </c>
    </row>
    <row r="6" spans="2:12" x14ac:dyDescent="0.25">
      <c r="B6" t="s">
        <v>274</v>
      </c>
    </row>
    <row r="7" spans="2:12" x14ac:dyDescent="0.25">
      <c r="B7" t="s">
        <v>314</v>
      </c>
    </row>
    <row r="9" spans="2:12" ht="15" customHeight="1" x14ac:dyDescent="0.25">
      <c r="B9" s="125" t="s">
        <v>202</v>
      </c>
    </row>
    <row r="10" spans="2:12" x14ac:dyDescent="0.25">
      <c r="B10" s="8" t="s">
        <v>92</v>
      </c>
      <c r="D10" s="271" t="s">
        <v>18</v>
      </c>
      <c r="E10" s="272"/>
      <c r="F10" s="272"/>
      <c r="G10" s="273"/>
      <c r="J10" s="126" t="s">
        <v>277</v>
      </c>
    </row>
    <row r="11" spans="2:12" x14ac:dyDescent="0.25">
      <c r="B11" t="s">
        <v>93</v>
      </c>
      <c r="D11" s="274" t="str">
        <f>Ressources!G7</f>
        <v>4E 217</v>
      </c>
      <c r="E11" s="275"/>
      <c r="F11" s="276"/>
      <c r="H11" s="142" t="s">
        <v>255</v>
      </c>
      <c r="I11" s="83">
        <f>Ressources!H170</f>
        <v>8</v>
      </c>
      <c r="J11" s="12"/>
    </row>
    <row r="12" spans="2:12" x14ac:dyDescent="0.25">
      <c r="H12" s="154" t="s">
        <v>257</v>
      </c>
      <c r="I12" s="82">
        <v>3</v>
      </c>
      <c r="J12" s="126" t="s">
        <v>266</v>
      </c>
      <c r="K12" s="8"/>
    </row>
    <row r="13" spans="2:12" x14ac:dyDescent="0.25">
      <c r="D13" s="142" t="s">
        <v>182</v>
      </c>
      <c r="E13" s="130" t="s">
        <v>181</v>
      </c>
      <c r="F13" s="131">
        <f>IF(I11&lt;I12,"Erreur !",I12*2.5/I11)</f>
        <v>0.9375</v>
      </c>
      <c r="H13" s="142" t="s">
        <v>180</v>
      </c>
      <c r="I13" s="117">
        <f>F79</f>
        <v>8</v>
      </c>
      <c r="J13" t="s">
        <v>256</v>
      </c>
    </row>
    <row r="14" spans="2:12" ht="11.25" customHeight="1" x14ac:dyDescent="0.25"/>
    <row r="15" spans="2:12" ht="15" customHeight="1" x14ac:dyDescent="0.25">
      <c r="B15" s="125" t="s">
        <v>315</v>
      </c>
    </row>
    <row r="16" spans="2:12" x14ac:dyDescent="0.25">
      <c r="G16" s="220" t="s">
        <v>233</v>
      </c>
      <c r="H16" s="225"/>
      <c r="I16" s="226"/>
      <c r="J16" s="147">
        <f>Ressources!O11</f>
        <v>250</v>
      </c>
      <c r="K16" s="220" t="s">
        <v>234</v>
      </c>
      <c r="L16" s="226"/>
    </row>
    <row r="17" spans="2:12" x14ac:dyDescent="0.25">
      <c r="B17" s="13"/>
      <c r="G17" s="180" t="s">
        <v>7</v>
      </c>
      <c r="H17" s="180" t="s">
        <v>8</v>
      </c>
      <c r="I17" s="140" t="s">
        <v>9</v>
      </c>
      <c r="J17" s="140" t="s">
        <v>169</v>
      </c>
      <c r="K17" s="140" t="s">
        <v>170</v>
      </c>
      <c r="L17" s="140" t="s">
        <v>84</v>
      </c>
    </row>
    <row r="18" spans="2:12" x14ac:dyDescent="0.25">
      <c r="B18" s="235" t="s">
        <v>210</v>
      </c>
      <c r="C18" s="235"/>
      <c r="D18" s="235"/>
      <c r="E18" s="235"/>
      <c r="F18" s="235"/>
      <c r="G18" s="177">
        <v>1</v>
      </c>
      <c r="H18" s="177">
        <v>1</v>
      </c>
      <c r="I18" s="128">
        <v>1</v>
      </c>
      <c r="J18" s="128">
        <v>1</v>
      </c>
      <c r="K18" s="128">
        <v>1</v>
      </c>
      <c r="L18" s="128">
        <v>1</v>
      </c>
    </row>
    <row r="19" spans="2:12" x14ac:dyDescent="0.25">
      <c r="B19" s="219" t="s">
        <v>208</v>
      </c>
      <c r="C19" s="219"/>
      <c r="D19" s="219"/>
      <c r="E19" s="219"/>
      <c r="F19" s="219"/>
      <c r="G19" s="184">
        <v>101</v>
      </c>
      <c r="H19" s="184">
        <v>101</v>
      </c>
      <c r="I19" s="107">
        <v>101</v>
      </c>
      <c r="J19" s="107">
        <v>101</v>
      </c>
      <c r="K19" s="107">
        <v>201</v>
      </c>
      <c r="L19" s="107">
        <v>101</v>
      </c>
    </row>
    <row r="20" spans="2:12" x14ac:dyDescent="0.25">
      <c r="B20" s="219" t="s">
        <v>209</v>
      </c>
      <c r="C20" s="219"/>
      <c r="D20" s="219"/>
      <c r="E20" s="219"/>
      <c r="F20" s="219"/>
      <c r="G20" s="181">
        <v>11</v>
      </c>
      <c r="H20" s="181">
        <v>11</v>
      </c>
      <c r="I20" s="108">
        <v>11</v>
      </c>
      <c r="J20" s="108">
        <v>11</v>
      </c>
      <c r="K20" s="108">
        <v>11</v>
      </c>
      <c r="L20" s="108">
        <v>11</v>
      </c>
    </row>
    <row r="21" spans="2:12" x14ac:dyDescent="0.25">
      <c r="B21" s="219" t="s">
        <v>190</v>
      </c>
      <c r="C21" s="219"/>
      <c r="D21" s="219"/>
      <c r="E21" s="219"/>
      <c r="F21" s="219"/>
      <c r="G21" s="182"/>
      <c r="H21" s="181">
        <v>21</v>
      </c>
      <c r="I21" s="108">
        <v>21</v>
      </c>
      <c r="J21" s="108">
        <v>21</v>
      </c>
      <c r="K21" s="108">
        <v>21</v>
      </c>
      <c r="L21" s="108">
        <v>21</v>
      </c>
    </row>
    <row r="22" spans="2:12" x14ac:dyDescent="0.25">
      <c r="B22" s="219" t="s">
        <v>194</v>
      </c>
      <c r="C22" s="219"/>
      <c r="D22" s="219"/>
      <c r="E22" s="219"/>
      <c r="F22" s="219"/>
      <c r="G22" s="220"/>
      <c r="H22" s="225"/>
      <c r="I22" s="225"/>
      <c r="J22" s="226"/>
      <c r="K22" s="108">
        <v>31</v>
      </c>
      <c r="L22" s="96"/>
    </row>
    <row r="23" spans="2:12" x14ac:dyDescent="0.25">
      <c r="B23" s="219" t="s">
        <v>193</v>
      </c>
      <c r="C23" s="219"/>
      <c r="D23" s="219"/>
      <c r="E23" s="219"/>
      <c r="F23" s="219"/>
      <c r="G23" s="183">
        <f>G18+G19-G20</f>
        <v>91</v>
      </c>
      <c r="H23" s="183">
        <f>H18+H19-H20-H21</f>
        <v>70</v>
      </c>
      <c r="I23" s="111">
        <f>I18+I19-I20-I21</f>
        <v>70</v>
      </c>
      <c r="J23" s="111">
        <f>J18+J19-J20-J21</f>
        <v>70</v>
      </c>
      <c r="K23" s="111">
        <f>K18+K19-K20-K21-K22</f>
        <v>139</v>
      </c>
      <c r="L23" s="111">
        <f>L18+L19-L20-L21-L22</f>
        <v>70</v>
      </c>
    </row>
    <row r="24" spans="2:12" x14ac:dyDescent="0.25">
      <c r="B24" s="219" t="s">
        <v>218</v>
      </c>
      <c r="C24" s="219"/>
      <c r="D24" s="219"/>
      <c r="E24" s="219"/>
      <c r="F24" s="219"/>
      <c r="G24" s="178">
        <f>3*$I12</f>
        <v>9</v>
      </c>
      <c r="H24" s="198">
        <f t="shared" ref="H24:L24" si="0">3*$I12</f>
        <v>9</v>
      </c>
      <c r="I24" s="198">
        <f t="shared" si="0"/>
        <v>9</v>
      </c>
      <c r="J24" s="198">
        <f t="shared" si="0"/>
        <v>9</v>
      </c>
      <c r="K24" s="198">
        <f t="shared" si="0"/>
        <v>9</v>
      </c>
      <c r="L24" s="110">
        <f t="shared" si="0"/>
        <v>9</v>
      </c>
    </row>
    <row r="25" spans="2:12" x14ac:dyDescent="0.25">
      <c r="B25" s="219" t="s">
        <v>128</v>
      </c>
      <c r="C25" s="219"/>
      <c r="D25" s="219"/>
      <c r="E25" s="219"/>
      <c r="F25" s="219"/>
      <c r="G25" s="181">
        <v>60</v>
      </c>
      <c r="H25" s="213" t="s">
        <v>196</v>
      </c>
      <c r="I25" s="118">
        <f>Ressources!M20</f>
        <v>60</v>
      </c>
      <c r="J25" s="115" t="s">
        <v>135</v>
      </c>
      <c r="K25" s="119"/>
      <c r="L25" s="85"/>
    </row>
    <row r="26" spans="2:12" x14ac:dyDescent="0.25">
      <c r="B26" s="219" t="s">
        <v>129</v>
      </c>
      <c r="C26" s="219"/>
      <c r="D26" s="219"/>
      <c r="E26" s="219"/>
      <c r="F26" s="219"/>
      <c r="G26" s="214">
        <f>Ressources!J21</f>
        <v>64</v>
      </c>
      <c r="H26" s="214">
        <f>Ressources!L21</f>
        <v>28</v>
      </c>
      <c r="I26" s="109">
        <f>Ressources!N21</f>
        <v>32</v>
      </c>
      <c r="J26" s="109">
        <f>Ressources!O21</f>
        <v>0</v>
      </c>
      <c r="K26" s="109">
        <f>Ressources!P21</f>
        <v>24</v>
      </c>
      <c r="L26" s="109">
        <f>Ressources!Q21</f>
        <v>12</v>
      </c>
    </row>
    <row r="27" spans="2:12" x14ac:dyDescent="0.25">
      <c r="B27" s="219" t="s">
        <v>235</v>
      </c>
      <c r="C27" s="219"/>
      <c r="D27" s="219"/>
      <c r="E27" s="219"/>
      <c r="F27" s="219"/>
      <c r="G27" s="178">
        <f>IF(G23-G24+G26-G25&gt;$J16,G23-G24+G26-G25-$J16,0)</f>
        <v>0</v>
      </c>
      <c r="H27" s="178">
        <f>IF(H23-H24+H26&gt;$J16,H23-H24+H26-$J16,0)</f>
        <v>0</v>
      </c>
      <c r="I27" s="110">
        <f>IF(I23-I24+I26&gt;$J16,I23-I24+I26-$J16,0)</f>
        <v>0</v>
      </c>
      <c r="J27" s="110">
        <f>IF(J23-J24+J26&gt;$J16,J23-J24+J26-$J16,0)</f>
        <v>0</v>
      </c>
      <c r="K27" s="110">
        <f>IF(K23-K24+K26&gt;$J16,K23-K24+K26-$J16,0)</f>
        <v>0</v>
      </c>
      <c r="L27" s="110">
        <f>IF(L23-L24+L26&gt;$J16,L23-L24+L26-$J16,0)</f>
        <v>0</v>
      </c>
    </row>
    <row r="28" spans="2:12" x14ac:dyDescent="0.25">
      <c r="B28" s="235" t="s">
        <v>217</v>
      </c>
      <c r="C28" s="235"/>
      <c r="D28" s="235"/>
      <c r="E28" s="235"/>
      <c r="F28" s="235"/>
      <c r="G28" s="179">
        <f>G23-G24+G26-G25-G27</f>
        <v>86</v>
      </c>
      <c r="H28" s="179">
        <f>H23-H24+H26-H27</f>
        <v>89</v>
      </c>
      <c r="I28" s="129">
        <f>I23-I24+I26-I27</f>
        <v>93</v>
      </c>
      <c r="J28" s="129">
        <f>J23-J24+J26-J27</f>
        <v>61</v>
      </c>
      <c r="K28" s="129">
        <f>K23-K24+K26-K27</f>
        <v>154</v>
      </c>
      <c r="L28" s="129">
        <f>L23-L24+L26-L27</f>
        <v>73</v>
      </c>
    </row>
    <row r="29" spans="2:12" ht="11.25" customHeight="1" x14ac:dyDescent="0.25"/>
    <row r="30" spans="2:12" ht="15" customHeight="1" x14ac:dyDescent="0.25">
      <c r="B30" s="146" t="str">
        <f>Ressources!C25</f>
        <v>Historique des finances du 1er Primétoile de l'année précédente au 1er Primétoile de l'année 4E 217 :</v>
      </c>
    </row>
    <row r="31" spans="2:12" x14ac:dyDescent="0.25">
      <c r="B31" s="236" t="s">
        <v>232</v>
      </c>
      <c r="C31" s="266"/>
      <c r="D31" s="266"/>
      <c r="E31" s="266"/>
      <c r="F31" s="267"/>
      <c r="G31" s="135">
        <v>204000</v>
      </c>
      <c r="H31" s="149" t="s">
        <v>131</v>
      </c>
    </row>
    <row r="32" spans="2:12" x14ac:dyDescent="0.25">
      <c r="B32" s="220" t="s">
        <v>241</v>
      </c>
      <c r="C32" s="225"/>
      <c r="D32" s="225"/>
      <c r="E32" s="225"/>
      <c r="F32" s="226"/>
      <c r="G32" s="136">
        <v>1</v>
      </c>
      <c r="H32" s="150" t="s">
        <v>131</v>
      </c>
    </row>
    <row r="33" spans="2:8" x14ac:dyDescent="0.25">
      <c r="B33" s="220" t="s">
        <v>240</v>
      </c>
      <c r="C33" s="225"/>
      <c r="D33" s="225"/>
      <c r="E33" s="225"/>
      <c r="F33" s="226"/>
      <c r="G33" s="136">
        <v>2</v>
      </c>
      <c r="H33" s="150" t="s">
        <v>131</v>
      </c>
    </row>
    <row r="34" spans="2:8" x14ac:dyDescent="0.25">
      <c r="B34" s="220" t="s">
        <v>239</v>
      </c>
      <c r="C34" s="225"/>
      <c r="D34" s="225"/>
      <c r="E34" s="225"/>
      <c r="F34" s="226"/>
      <c r="G34" s="136">
        <v>3</v>
      </c>
      <c r="H34" s="150" t="s">
        <v>131</v>
      </c>
    </row>
    <row r="35" spans="2:8" x14ac:dyDescent="0.25">
      <c r="B35" s="220" t="s">
        <v>238</v>
      </c>
      <c r="C35" s="225"/>
      <c r="D35" s="225"/>
      <c r="E35" s="225"/>
      <c r="F35" s="226"/>
      <c r="G35" s="137">
        <v>4</v>
      </c>
      <c r="H35" s="150" t="s">
        <v>131</v>
      </c>
    </row>
    <row r="36" spans="2:8" x14ac:dyDescent="0.25">
      <c r="B36" s="220" t="s">
        <v>229</v>
      </c>
      <c r="C36" s="225"/>
      <c r="D36" s="225"/>
      <c r="E36" s="225"/>
      <c r="F36" s="226"/>
      <c r="G36" s="137">
        <v>5</v>
      </c>
      <c r="H36" s="150" t="s">
        <v>131</v>
      </c>
    </row>
    <row r="37" spans="2:8" x14ac:dyDescent="0.25">
      <c r="B37" s="220" t="s">
        <v>219</v>
      </c>
      <c r="C37" s="225"/>
      <c r="D37" s="225"/>
      <c r="E37" s="225"/>
      <c r="F37" s="226"/>
      <c r="G37" s="137">
        <v>150150</v>
      </c>
      <c r="H37" s="150" t="s">
        <v>131</v>
      </c>
    </row>
    <row r="38" spans="2:8" x14ac:dyDescent="0.25">
      <c r="B38" s="220" t="s">
        <v>220</v>
      </c>
      <c r="C38" s="225"/>
      <c r="D38" s="225"/>
      <c r="E38" s="225"/>
      <c r="F38" s="226"/>
      <c r="G38" s="137">
        <v>6</v>
      </c>
      <c r="H38" s="150" t="s">
        <v>131</v>
      </c>
    </row>
    <row r="39" spans="2:8" x14ac:dyDescent="0.25">
      <c r="B39" s="236" t="s">
        <v>143</v>
      </c>
      <c r="C39" s="266"/>
      <c r="D39" s="266"/>
      <c r="E39" s="266"/>
      <c r="F39" s="267"/>
      <c r="G39" s="138">
        <f>Ressources!P34</f>
        <v>48750</v>
      </c>
      <c r="H39" s="153" t="s">
        <v>131</v>
      </c>
    </row>
    <row r="40" spans="2:8" x14ac:dyDescent="0.25">
      <c r="B40" s="220" t="s">
        <v>130</v>
      </c>
      <c r="C40" s="225"/>
      <c r="D40" s="225"/>
      <c r="E40" s="225"/>
      <c r="F40" s="226"/>
      <c r="G40" s="132">
        <f>Ressources!P35</f>
        <v>87500</v>
      </c>
      <c r="H40" s="151" t="s">
        <v>131</v>
      </c>
    </row>
    <row r="41" spans="2:8" x14ac:dyDescent="0.25">
      <c r="B41" s="220" t="s">
        <v>236</v>
      </c>
      <c r="C41" s="225"/>
      <c r="D41" s="225"/>
      <c r="E41" s="225"/>
      <c r="F41" s="226"/>
      <c r="G41" s="132">
        <f>TRUNC(G27+H27+I27+J27+K27+L27)*250</f>
        <v>0</v>
      </c>
      <c r="H41" s="151" t="s">
        <v>131</v>
      </c>
    </row>
    <row r="42" spans="2:8" x14ac:dyDescent="0.25">
      <c r="B42" s="220" t="s">
        <v>179</v>
      </c>
      <c r="C42" s="225"/>
      <c r="D42" s="225"/>
      <c r="E42" s="225"/>
      <c r="F42" s="226"/>
      <c r="G42" s="121">
        <v>77</v>
      </c>
      <c r="H42" s="150" t="s">
        <v>191</v>
      </c>
    </row>
    <row r="43" spans="2:8" x14ac:dyDescent="0.25">
      <c r="B43" s="220" t="s">
        <v>132</v>
      </c>
      <c r="C43" s="225"/>
      <c r="D43" s="225"/>
      <c r="E43" s="225"/>
      <c r="F43" s="226"/>
      <c r="G43" s="155">
        <f>G42*200</f>
        <v>15400</v>
      </c>
      <c r="H43" s="151" t="s">
        <v>131</v>
      </c>
    </row>
    <row r="44" spans="2:8" x14ac:dyDescent="0.25">
      <c r="B44" s="220" t="s">
        <v>192</v>
      </c>
      <c r="C44" s="225"/>
      <c r="D44" s="225"/>
      <c r="E44" s="225"/>
      <c r="F44" s="226"/>
      <c r="G44" s="132">
        <f>Ressources!P39</f>
        <v>60000</v>
      </c>
      <c r="H44" s="151" t="s">
        <v>131</v>
      </c>
    </row>
    <row r="45" spans="2:8" x14ac:dyDescent="0.25">
      <c r="B45" s="220" t="s">
        <v>133</v>
      </c>
      <c r="C45" s="225"/>
      <c r="D45" s="225"/>
      <c r="E45" s="225"/>
      <c r="F45" s="226"/>
      <c r="G45" s="156">
        <f>Ressources!P40</f>
        <v>0</v>
      </c>
      <c r="H45" s="151" t="s">
        <v>131</v>
      </c>
    </row>
    <row r="46" spans="2:8" x14ac:dyDescent="0.25">
      <c r="B46" s="220" t="s">
        <v>134</v>
      </c>
      <c r="C46" s="225"/>
      <c r="D46" s="225"/>
      <c r="E46" s="225"/>
      <c r="F46" s="226"/>
      <c r="G46" s="156">
        <f>Ressources!P41</f>
        <v>87500</v>
      </c>
      <c r="H46" s="152" t="s">
        <v>131</v>
      </c>
    </row>
    <row r="47" spans="2:8" x14ac:dyDescent="0.25">
      <c r="B47" s="236" t="s">
        <v>144</v>
      </c>
      <c r="C47" s="266"/>
      <c r="D47" s="266"/>
      <c r="E47" s="266"/>
      <c r="F47" s="267"/>
      <c r="G47" s="138">
        <f>Ressources!P42</f>
        <v>136250</v>
      </c>
      <c r="H47" s="153" t="s">
        <v>131</v>
      </c>
    </row>
    <row r="48" spans="2:8" x14ac:dyDescent="0.25">
      <c r="B48" s="139"/>
      <c r="C48" s="139"/>
      <c r="D48" s="139"/>
      <c r="E48" s="139"/>
      <c r="F48" s="139"/>
    </row>
    <row r="49" spans="2:8" ht="15.75" x14ac:dyDescent="0.25">
      <c r="B49" s="146" t="str">
        <f>Ressources!I44</f>
        <v>Historique des finances de l'année 4E 217 :</v>
      </c>
    </row>
    <row r="50" spans="2:8" x14ac:dyDescent="0.25">
      <c r="B50" s="236" t="s">
        <v>143</v>
      </c>
      <c r="C50" s="266"/>
      <c r="D50" s="266"/>
      <c r="E50" s="266"/>
      <c r="F50" s="267"/>
      <c r="G50" s="135">
        <v>37900</v>
      </c>
      <c r="H50" s="149" t="s">
        <v>131</v>
      </c>
    </row>
    <row r="51" spans="2:8" x14ac:dyDescent="0.25">
      <c r="B51" s="220" t="s">
        <v>130</v>
      </c>
      <c r="C51" s="225"/>
      <c r="D51" s="225"/>
      <c r="E51" s="225"/>
      <c r="F51" s="226"/>
      <c r="G51" s="132">
        <f>Ressources!P46</f>
        <v>87500</v>
      </c>
      <c r="H51" s="151" t="s">
        <v>131</v>
      </c>
    </row>
    <row r="52" spans="2:8" x14ac:dyDescent="0.25">
      <c r="B52" s="220" t="s">
        <v>236</v>
      </c>
      <c r="C52" s="225"/>
      <c r="D52" s="225"/>
      <c r="E52" s="225"/>
      <c r="F52" s="226"/>
      <c r="G52" s="132">
        <f>TRUNC(G27+H27+I27+J27+K27+L27)*250</f>
        <v>0</v>
      </c>
      <c r="H52" s="151" t="s">
        <v>131</v>
      </c>
    </row>
    <row r="53" spans="2:8" x14ac:dyDescent="0.25">
      <c r="B53" s="220" t="s">
        <v>179</v>
      </c>
      <c r="C53" s="225"/>
      <c r="D53" s="225"/>
      <c r="E53" s="225"/>
      <c r="F53" s="226"/>
      <c r="G53" s="121">
        <v>55</v>
      </c>
      <c r="H53" s="150" t="s">
        <v>191</v>
      </c>
    </row>
    <row r="54" spans="2:8" x14ac:dyDescent="0.25">
      <c r="B54" s="220" t="s">
        <v>132</v>
      </c>
      <c r="C54" s="225"/>
      <c r="D54" s="225"/>
      <c r="E54" s="225"/>
      <c r="F54" s="226"/>
      <c r="G54" s="155">
        <f>Ressources!P49</f>
        <v>60000</v>
      </c>
      <c r="H54" s="151" t="s">
        <v>131</v>
      </c>
    </row>
    <row r="55" spans="2:8" x14ac:dyDescent="0.25">
      <c r="B55" s="220" t="s">
        <v>192</v>
      </c>
      <c r="C55" s="225"/>
      <c r="D55" s="225"/>
      <c r="E55" s="225"/>
      <c r="F55" s="226"/>
      <c r="G55" s="132">
        <f>Ressources!P50</f>
        <v>60000</v>
      </c>
      <c r="H55" s="151" t="s">
        <v>131</v>
      </c>
    </row>
    <row r="56" spans="2:8" x14ac:dyDescent="0.25">
      <c r="B56" s="220" t="s">
        <v>133</v>
      </c>
      <c r="C56" s="225"/>
      <c r="D56" s="225"/>
      <c r="E56" s="225"/>
      <c r="F56" s="226"/>
      <c r="G56" s="156">
        <f>Ressources!P51</f>
        <v>0</v>
      </c>
      <c r="H56" s="151" t="s">
        <v>131</v>
      </c>
    </row>
    <row r="57" spans="2:8" x14ac:dyDescent="0.25">
      <c r="B57" s="220" t="s">
        <v>134</v>
      </c>
      <c r="C57" s="225"/>
      <c r="D57" s="225"/>
      <c r="E57" s="225"/>
      <c r="F57" s="226"/>
      <c r="G57" s="156">
        <f>Ressources!P52</f>
        <v>87500</v>
      </c>
      <c r="H57" s="152" t="s">
        <v>131</v>
      </c>
    </row>
    <row r="58" spans="2:8" x14ac:dyDescent="0.25">
      <c r="B58" s="236" t="s">
        <v>144</v>
      </c>
      <c r="C58" s="266"/>
      <c r="D58" s="266"/>
      <c r="E58" s="266"/>
      <c r="F58" s="267"/>
      <c r="G58" s="138">
        <f>Ressources!P53</f>
        <v>125400</v>
      </c>
      <c r="H58" s="153" t="s">
        <v>131</v>
      </c>
    </row>
    <row r="59" spans="2:8" x14ac:dyDescent="0.25">
      <c r="B59" s="220" t="s">
        <v>241</v>
      </c>
      <c r="C59" s="225"/>
      <c r="D59" s="225"/>
      <c r="E59" s="225"/>
      <c r="F59" s="226"/>
      <c r="G59" s="136">
        <v>1</v>
      </c>
      <c r="H59" s="150" t="s">
        <v>131</v>
      </c>
    </row>
    <row r="60" spans="2:8" x14ac:dyDescent="0.25">
      <c r="B60" s="220" t="s">
        <v>240</v>
      </c>
      <c r="C60" s="225"/>
      <c r="D60" s="225"/>
      <c r="E60" s="225"/>
      <c r="F60" s="226"/>
      <c r="G60" s="136">
        <v>2</v>
      </c>
      <c r="H60" s="150" t="s">
        <v>131</v>
      </c>
    </row>
    <row r="61" spans="2:8" x14ac:dyDescent="0.25">
      <c r="B61" s="220" t="s">
        <v>239</v>
      </c>
      <c r="C61" s="225"/>
      <c r="D61" s="225"/>
      <c r="E61" s="225"/>
      <c r="F61" s="226"/>
      <c r="G61" s="136">
        <v>3</v>
      </c>
      <c r="H61" s="150" t="s">
        <v>131</v>
      </c>
    </row>
    <row r="62" spans="2:8" x14ac:dyDescent="0.25">
      <c r="B62" s="220" t="s">
        <v>238</v>
      </c>
      <c r="C62" s="225"/>
      <c r="D62" s="225"/>
      <c r="E62" s="225"/>
      <c r="F62" s="226"/>
      <c r="G62" s="137">
        <v>4</v>
      </c>
      <c r="H62" s="150" t="s">
        <v>131</v>
      </c>
    </row>
    <row r="63" spans="2:8" x14ac:dyDescent="0.25">
      <c r="B63" s="220" t="s">
        <v>229</v>
      </c>
      <c r="C63" s="225"/>
      <c r="D63" s="225"/>
      <c r="E63" s="225"/>
      <c r="F63" s="226"/>
      <c r="G63" s="137">
        <v>5</v>
      </c>
      <c r="H63" s="150" t="s">
        <v>131</v>
      </c>
    </row>
    <row r="64" spans="2:8" x14ac:dyDescent="0.25">
      <c r="B64" s="220" t="s">
        <v>219</v>
      </c>
      <c r="C64" s="225"/>
      <c r="D64" s="225"/>
      <c r="E64" s="225"/>
      <c r="F64" s="226"/>
      <c r="G64" s="137">
        <v>6666</v>
      </c>
      <c r="H64" s="150" t="s">
        <v>131</v>
      </c>
    </row>
    <row r="65" spans="2:13" x14ac:dyDescent="0.25">
      <c r="B65" s="220" t="s">
        <v>220</v>
      </c>
      <c r="C65" s="225"/>
      <c r="D65" s="225"/>
      <c r="E65" s="225"/>
      <c r="F65" s="226"/>
      <c r="G65" s="137">
        <v>7</v>
      </c>
      <c r="H65" s="150" t="s">
        <v>131</v>
      </c>
    </row>
    <row r="66" spans="2:13" x14ac:dyDescent="0.25">
      <c r="B66" s="236" t="s">
        <v>264</v>
      </c>
      <c r="C66" s="266"/>
      <c r="D66" s="266"/>
      <c r="E66" s="266"/>
      <c r="F66" s="267"/>
      <c r="G66" s="138">
        <f>Ressources!P61</f>
        <v>38400</v>
      </c>
      <c r="H66" s="153" t="s">
        <v>131</v>
      </c>
    </row>
    <row r="78" spans="2:13" ht="3.75" customHeight="1" x14ac:dyDescent="0.25">
      <c r="F78" t="s">
        <v>98</v>
      </c>
      <c r="G78" t="s">
        <v>311</v>
      </c>
      <c r="M78" t="s">
        <v>312</v>
      </c>
    </row>
    <row r="79" spans="2:13" ht="3.75" customHeight="1" x14ac:dyDescent="0.25">
      <c r="F79" s="111">
        <f>SMALL(G79:M79,1)</f>
        <v>8</v>
      </c>
      <c r="G79" s="111">
        <f t="shared" ref="G79:K79" si="1">TRUNC((G23/3),0)</f>
        <v>30</v>
      </c>
      <c r="H79" s="111">
        <f t="shared" si="1"/>
        <v>23</v>
      </c>
      <c r="I79" s="111">
        <f>TRUNC((I23/3),0)</f>
        <v>23</v>
      </c>
      <c r="J79" s="111">
        <f t="shared" si="1"/>
        <v>23</v>
      </c>
      <c r="K79" s="111">
        <f t="shared" si="1"/>
        <v>46</v>
      </c>
      <c r="L79" s="111">
        <f>TRUNC((L23/3),0)</f>
        <v>23</v>
      </c>
      <c r="M79" s="111">
        <f>I11</f>
        <v>8</v>
      </c>
    </row>
  </sheetData>
  <mergeCells count="50">
    <mergeCell ref="B66:F66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54:F54"/>
    <mergeCell ref="B41:F41"/>
    <mergeCell ref="B42:F42"/>
    <mergeCell ref="B43:F43"/>
    <mergeCell ref="B44:F44"/>
    <mergeCell ref="B45:F45"/>
    <mergeCell ref="B46:F46"/>
    <mergeCell ref="B47:F47"/>
    <mergeCell ref="B50:F50"/>
    <mergeCell ref="B51:F51"/>
    <mergeCell ref="B52:F52"/>
    <mergeCell ref="B53:F53"/>
    <mergeCell ref="B35:F35"/>
    <mergeCell ref="B36:F36"/>
    <mergeCell ref="B37:F37"/>
    <mergeCell ref="B38:F38"/>
    <mergeCell ref="B39:F39"/>
    <mergeCell ref="B40:F40"/>
    <mergeCell ref="D10:G10"/>
    <mergeCell ref="D11:F11"/>
    <mergeCell ref="B31:F31"/>
    <mergeCell ref="B32:F32"/>
    <mergeCell ref="B33:F33"/>
    <mergeCell ref="B34:F34"/>
    <mergeCell ref="B27:F27"/>
    <mergeCell ref="B28:F28"/>
    <mergeCell ref="B24:F24"/>
    <mergeCell ref="B25:F25"/>
    <mergeCell ref="B26:F26"/>
    <mergeCell ref="B21:F21"/>
    <mergeCell ref="B22:F22"/>
    <mergeCell ref="G22:J22"/>
    <mergeCell ref="B23:F23"/>
    <mergeCell ref="B19:F19"/>
    <mergeCell ref="B20:F20"/>
    <mergeCell ref="G16:I16"/>
    <mergeCell ref="K16:L16"/>
    <mergeCell ref="B18:F18"/>
  </mergeCells>
  <conditionalFormatting sqref="F13">
    <cfRule type="containsText" dxfId="65" priority="17" operator="containsText" text="Erreur !">
      <formula>NOT(ISERROR(SEARCH("Erreur !",F13)))</formula>
    </cfRule>
  </conditionalFormatting>
  <conditionalFormatting sqref="I11">
    <cfRule type="containsText" dxfId="64" priority="5" operator="containsText" text="Province ?">
      <formula>NOT(ISERROR(SEARCH("Province ?",I11)))</formula>
    </cfRule>
  </conditionalFormatting>
  <conditionalFormatting sqref="G66">
    <cfRule type="cellIs" dxfId="63" priority="1" operator="lessThan">
      <formula>0</formula>
    </cfRule>
  </conditionalFormatting>
  <conditionalFormatting sqref="G46">
    <cfRule type="cellIs" dxfId="62" priority="4" operator="equal">
      <formula>0</formula>
    </cfRule>
  </conditionalFormatting>
  <conditionalFormatting sqref="G39">
    <cfRule type="cellIs" dxfId="61" priority="3" operator="lessThan">
      <formula>0</formula>
    </cfRule>
  </conditionalFormatting>
  <conditionalFormatting sqref="G57">
    <cfRule type="cellIs" dxfId="60" priority="2" operator="equal">
      <formula>0</formula>
    </cfRule>
  </conditionalFormatting>
  <dataValidations count="7">
    <dataValidation type="whole" errorStyle="warning" operator="greaterThanOrEqual" allowBlank="1" showInputMessage="1" showErrorMessage="1" errorTitle="Nombre entier uniquement" error="Les stocks et variations de marchandises s'expriment uniquement en nombre entiers supérieurs ou égal à 0. Merci." sqref="K22 G18:L20 H21:L21">
      <formula1>0</formula1>
    </dataValidation>
    <dataValidation type="whole" errorStyle="warning" allowBlank="1" showInputMessage="1" showErrorMessage="1" errorTitle="Nombre non valide" error="Veuillez mettre un nombre entier compris entre 0 et le maximum de villes que vous pouvez alimenter en ressources." sqref="I12">
      <formula1>0</formula1>
      <formula2>I13</formula2>
    </dataValidation>
    <dataValidation errorStyle="information" allowBlank="1" showInputMessage="1" showErrorMessage="1" sqref="D11:F11"/>
    <dataValidation type="whole" errorStyle="warning" operator="greaterThanOrEqual" allowBlank="1" showInputMessage="1" showErrorMessage="1" errorTitle="Nombre entier positif uniquement" error="Les mouvements d'argent doivent être indiqués en nombres positifs (soustraction automatique sur le solde)." sqref="G32:G38 G59:G65">
      <formula1>0</formula1>
    </dataValidation>
    <dataValidation type="whole" operator="greaterThanOrEqual" allowBlank="1" showInputMessage="1" showErrorMessage="1" errorTitle="Nombre entier uniquement" error="La trésorerie ne peut avoir qu'une valeur entière supérieure ou égale à 0." sqref="G31 G66 G50 G39:G40">
      <formula1>0</formula1>
    </dataValidation>
    <dataValidation type="whole" operator="greaterThanOrEqual" allowBlank="1" showInputMessage="1" showErrorMessage="1" errorTitle="Chiffre entiers uniquement" error="Les bataillons sont toujours décomptés en nombre entier positifs dans cette version du Wargame." sqref="G42 G53">
      <formula1>0</formula1>
    </dataValidation>
    <dataValidation operator="greaterThanOrEqual" allowBlank="1" showInputMessage="1" showErrorMessage="1" errorTitle="Nombre entier uniquement" error="La trésorerie ne peut avoir qu'une valeur entière supérieure ou égale à 0." sqref="G41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errorStyle="information" allowBlank="1" showInputMessage="1" showErrorMessage="1" errorTitle="Trop ou pas assez de nourriture" error="• Vous ne possèdez pas cette quantité de nourriture._x000a_• Ou vos soldats sont déjà intégralement payés avec autant de nourriture. Inutile de leur donner plus que le maximum demandé.">
          <x14:formula1>
            <xm:f>0</xm:f>
          </x14:formula1>
          <x14:formula2>
            <xm:f>Ressources!P164</xm:f>
          </x14:formula2>
          <xm:sqref>G25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9"/>
  <sheetViews>
    <sheetView topLeftCell="A4" workbookViewId="0">
      <selection activeCell="G25" sqref="G25"/>
    </sheetView>
  </sheetViews>
  <sheetFormatPr baseColWidth="10" defaultRowHeight="15" x14ac:dyDescent="0.25"/>
  <cols>
    <col min="1" max="1" width="1.42578125" customWidth="1"/>
    <col min="5" max="5" width="2.85546875" customWidth="1"/>
    <col min="6" max="6" width="8.5703125" customWidth="1"/>
    <col min="7" max="12" width="10.7109375" customWidth="1"/>
  </cols>
  <sheetData>
    <row r="1" spans="2:12" ht="18.75" x14ac:dyDescent="0.3">
      <c r="B1" s="203" t="s">
        <v>278</v>
      </c>
    </row>
    <row r="2" spans="2:12" ht="15" customHeight="1" x14ac:dyDescent="0.25"/>
    <row r="3" spans="2:12" x14ac:dyDescent="0.25">
      <c r="B3" t="s">
        <v>275</v>
      </c>
    </row>
    <row r="4" spans="2:12" x14ac:dyDescent="0.25">
      <c r="B4" t="s">
        <v>305</v>
      </c>
    </row>
    <row r="5" spans="2:12" x14ac:dyDescent="0.25">
      <c r="B5" t="s">
        <v>273</v>
      </c>
    </row>
    <row r="6" spans="2:12" x14ac:dyDescent="0.25">
      <c r="B6" t="s">
        <v>274</v>
      </c>
    </row>
    <row r="7" spans="2:12" x14ac:dyDescent="0.25">
      <c r="B7" t="s">
        <v>306</v>
      </c>
    </row>
    <row r="9" spans="2:12" ht="15" customHeight="1" x14ac:dyDescent="0.25">
      <c r="B9" s="125" t="s">
        <v>202</v>
      </c>
    </row>
    <row r="10" spans="2:12" x14ac:dyDescent="0.25">
      <c r="B10" s="8" t="s">
        <v>92</v>
      </c>
      <c r="D10" s="277" t="s">
        <v>19</v>
      </c>
      <c r="E10" s="278"/>
      <c r="F10" s="278"/>
      <c r="G10" s="279"/>
      <c r="J10" s="126" t="s">
        <v>277</v>
      </c>
    </row>
    <row r="11" spans="2:12" x14ac:dyDescent="0.25">
      <c r="B11" t="s">
        <v>93</v>
      </c>
      <c r="D11" s="274" t="str">
        <f>Ressources!G7</f>
        <v>4E 217</v>
      </c>
      <c r="E11" s="275"/>
      <c r="F11" s="276"/>
      <c r="H11" s="142" t="s">
        <v>255</v>
      </c>
      <c r="I11" s="83">
        <f>Ressources!H171</f>
        <v>9</v>
      </c>
      <c r="J11" s="12"/>
    </row>
    <row r="12" spans="2:12" x14ac:dyDescent="0.25">
      <c r="H12" s="154" t="s">
        <v>257</v>
      </c>
      <c r="I12" s="82">
        <v>9</v>
      </c>
      <c r="J12" s="126" t="s">
        <v>266</v>
      </c>
      <c r="K12" s="8"/>
    </row>
    <row r="13" spans="2:12" x14ac:dyDescent="0.25">
      <c r="D13" s="142" t="s">
        <v>182</v>
      </c>
      <c r="E13" s="130" t="s">
        <v>181</v>
      </c>
      <c r="F13" s="131">
        <f>IF(I11&lt;I12,"Erreur !",I12*2.5/I11)</f>
        <v>2.5</v>
      </c>
      <c r="H13" s="142" t="s">
        <v>180</v>
      </c>
      <c r="I13" s="117">
        <f>F79</f>
        <v>9</v>
      </c>
      <c r="J13" t="s">
        <v>256</v>
      </c>
    </row>
    <row r="14" spans="2:12" ht="11.25" customHeight="1" x14ac:dyDescent="0.25"/>
    <row r="15" spans="2:12" ht="15" customHeight="1" x14ac:dyDescent="0.25">
      <c r="B15" s="125" t="s">
        <v>316</v>
      </c>
    </row>
    <row r="16" spans="2:12" x14ac:dyDescent="0.25">
      <c r="G16" s="220" t="s">
        <v>233</v>
      </c>
      <c r="H16" s="225"/>
      <c r="I16" s="226"/>
      <c r="J16" s="147">
        <f>Ressources!O11</f>
        <v>250</v>
      </c>
      <c r="K16" s="220" t="s">
        <v>234</v>
      </c>
      <c r="L16" s="226"/>
    </row>
    <row r="17" spans="2:12" x14ac:dyDescent="0.25">
      <c r="B17" s="13"/>
      <c r="G17" s="180" t="s">
        <v>7</v>
      </c>
      <c r="H17" s="180" t="s">
        <v>8</v>
      </c>
      <c r="I17" s="140" t="s">
        <v>9</v>
      </c>
      <c r="J17" s="140" t="s">
        <v>169</v>
      </c>
      <c r="K17" s="140" t="s">
        <v>170</v>
      </c>
      <c r="L17" s="140" t="s">
        <v>84</v>
      </c>
    </row>
    <row r="18" spans="2:12" x14ac:dyDescent="0.25">
      <c r="B18" s="235" t="s">
        <v>210</v>
      </c>
      <c r="C18" s="235"/>
      <c r="D18" s="235"/>
      <c r="E18" s="235"/>
      <c r="F18" s="235"/>
      <c r="G18" s="177">
        <v>2</v>
      </c>
      <c r="H18" s="177">
        <v>2</v>
      </c>
      <c r="I18" s="128">
        <v>2</v>
      </c>
      <c r="J18" s="128">
        <v>2</v>
      </c>
      <c r="K18" s="128">
        <v>2</v>
      </c>
      <c r="L18" s="128">
        <v>2</v>
      </c>
    </row>
    <row r="19" spans="2:12" x14ac:dyDescent="0.25">
      <c r="B19" s="219" t="s">
        <v>208</v>
      </c>
      <c r="C19" s="219"/>
      <c r="D19" s="219"/>
      <c r="E19" s="219"/>
      <c r="F19" s="219"/>
      <c r="G19" s="184">
        <v>102</v>
      </c>
      <c r="H19" s="184">
        <v>102</v>
      </c>
      <c r="I19" s="107">
        <v>102</v>
      </c>
      <c r="J19" s="107">
        <v>102</v>
      </c>
      <c r="K19" s="107">
        <v>202</v>
      </c>
      <c r="L19" s="107">
        <v>102</v>
      </c>
    </row>
    <row r="20" spans="2:12" x14ac:dyDescent="0.25">
      <c r="B20" s="219" t="s">
        <v>209</v>
      </c>
      <c r="C20" s="219"/>
      <c r="D20" s="219"/>
      <c r="E20" s="219"/>
      <c r="F20" s="219"/>
      <c r="G20" s="181">
        <v>12</v>
      </c>
      <c r="H20" s="181">
        <v>12</v>
      </c>
      <c r="I20" s="108">
        <v>12</v>
      </c>
      <c r="J20" s="108">
        <v>12</v>
      </c>
      <c r="K20" s="108">
        <v>12</v>
      </c>
      <c r="L20" s="108">
        <v>12</v>
      </c>
    </row>
    <row r="21" spans="2:12" x14ac:dyDescent="0.25">
      <c r="B21" s="219" t="s">
        <v>190</v>
      </c>
      <c r="C21" s="219"/>
      <c r="D21" s="219"/>
      <c r="E21" s="219"/>
      <c r="F21" s="219"/>
      <c r="G21" s="182"/>
      <c r="H21" s="181">
        <v>22</v>
      </c>
      <c r="I21" s="108">
        <v>22</v>
      </c>
      <c r="J21" s="108">
        <v>22</v>
      </c>
      <c r="K21" s="108">
        <v>22</v>
      </c>
      <c r="L21" s="108">
        <v>22</v>
      </c>
    </row>
    <row r="22" spans="2:12" x14ac:dyDescent="0.25">
      <c r="B22" s="219" t="s">
        <v>194</v>
      </c>
      <c r="C22" s="219"/>
      <c r="D22" s="219"/>
      <c r="E22" s="219"/>
      <c r="F22" s="219"/>
      <c r="G22" s="220"/>
      <c r="H22" s="225"/>
      <c r="I22" s="225"/>
      <c r="J22" s="226"/>
      <c r="K22" s="108">
        <v>32</v>
      </c>
      <c r="L22" s="96"/>
    </row>
    <row r="23" spans="2:12" x14ac:dyDescent="0.25">
      <c r="B23" s="219" t="s">
        <v>193</v>
      </c>
      <c r="C23" s="219"/>
      <c r="D23" s="219"/>
      <c r="E23" s="219"/>
      <c r="F23" s="219"/>
      <c r="G23" s="200">
        <f>G18+G19-G20</f>
        <v>92</v>
      </c>
      <c r="H23" s="200">
        <f>H18+H19-H20-H21</f>
        <v>70</v>
      </c>
      <c r="I23" s="111">
        <f>I18+I19-I20-I21</f>
        <v>70</v>
      </c>
      <c r="J23" s="111">
        <f>J18+J19-J20-J21</f>
        <v>70</v>
      </c>
      <c r="K23" s="111">
        <f>K18+K19-K20-K21-K22</f>
        <v>138</v>
      </c>
      <c r="L23" s="111">
        <f>L18+L19-L20-L21-L22</f>
        <v>70</v>
      </c>
    </row>
    <row r="24" spans="2:12" x14ac:dyDescent="0.25">
      <c r="B24" s="219" t="s">
        <v>218</v>
      </c>
      <c r="C24" s="219"/>
      <c r="D24" s="219"/>
      <c r="E24" s="219"/>
      <c r="F24" s="219"/>
      <c r="G24" s="198">
        <f>3*$I12</f>
        <v>27</v>
      </c>
      <c r="H24" s="198">
        <f t="shared" ref="H24:L24" si="0">3*$I12</f>
        <v>27</v>
      </c>
      <c r="I24" s="198">
        <f t="shared" si="0"/>
        <v>27</v>
      </c>
      <c r="J24" s="198">
        <f t="shared" si="0"/>
        <v>27</v>
      </c>
      <c r="K24" s="198">
        <f t="shared" si="0"/>
        <v>27</v>
      </c>
      <c r="L24" s="110">
        <f t="shared" si="0"/>
        <v>27</v>
      </c>
    </row>
    <row r="25" spans="2:12" x14ac:dyDescent="0.25">
      <c r="B25" s="219" t="s">
        <v>128</v>
      </c>
      <c r="C25" s="219"/>
      <c r="D25" s="219"/>
      <c r="E25" s="219"/>
      <c r="F25" s="219"/>
      <c r="G25" s="181">
        <v>60</v>
      </c>
      <c r="H25" s="213" t="s">
        <v>196</v>
      </c>
      <c r="I25" s="118">
        <f>Ressources!M20</f>
        <v>60</v>
      </c>
      <c r="J25" s="115" t="s">
        <v>135</v>
      </c>
      <c r="K25" s="119"/>
      <c r="L25" s="85"/>
    </row>
    <row r="26" spans="2:12" x14ac:dyDescent="0.25">
      <c r="B26" s="219" t="s">
        <v>129</v>
      </c>
      <c r="C26" s="219"/>
      <c r="D26" s="219"/>
      <c r="E26" s="219"/>
      <c r="F26" s="219"/>
      <c r="G26" s="214">
        <f>Ressources!J21</f>
        <v>64</v>
      </c>
      <c r="H26" s="214">
        <f>Ressources!L21</f>
        <v>28</v>
      </c>
      <c r="I26" s="109">
        <f>Ressources!N21</f>
        <v>32</v>
      </c>
      <c r="J26" s="109">
        <f>Ressources!O21</f>
        <v>0</v>
      </c>
      <c r="K26" s="109">
        <f>Ressources!P21</f>
        <v>24</v>
      </c>
      <c r="L26" s="109">
        <f>Ressources!Q21</f>
        <v>12</v>
      </c>
    </row>
    <row r="27" spans="2:12" x14ac:dyDescent="0.25">
      <c r="B27" s="219" t="s">
        <v>235</v>
      </c>
      <c r="C27" s="219"/>
      <c r="D27" s="219"/>
      <c r="E27" s="219"/>
      <c r="F27" s="219"/>
      <c r="G27" s="198">
        <f>IF(G23-G24+G26-G25&gt;$J16,G23-G24+G26-G25-$J16,0)</f>
        <v>0</v>
      </c>
      <c r="H27" s="198">
        <f>IF(H23-H24+H26&gt;$J16,H23-H24+H26-$J16,0)</f>
        <v>0</v>
      </c>
      <c r="I27" s="110">
        <f>IF(I23-I24+I26&gt;$J16,I23-I24+I26-$J16,0)</f>
        <v>0</v>
      </c>
      <c r="J27" s="110">
        <f>IF(J23-J24+J26&gt;$J16,J23-J24+J26-$J16,0)</f>
        <v>0</v>
      </c>
      <c r="K27" s="110">
        <f>IF(K23-K24+K26&gt;$J16,K23-K24+K26-$J16,0)</f>
        <v>0</v>
      </c>
      <c r="L27" s="110">
        <f>IF(L23-L24+L26&gt;$J16,L23-L24+L26-$J16,0)</f>
        <v>0</v>
      </c>
    </row>
    <row r="28" spans="2:12" x14ac:dyDescent="0.25">
      <c r="B28" s="235" t="s">
        <v>217</v>
      </c>
      <c r="C28" s="235"/>
      <c r="D28" s="235"/>
      <c r="E28" s="235"/>
      <c r="F28" s="235"/>
      <c r="G28" s="199">
        <f>G23-G24+G26-G25-G27</f>
        <v>69</v>
      </c>
      <c r="H28" s="199">
        <f>H23-H24+H26-H27</f>
        <v>71</v>
      </c>
      <c r="I28" s="129">
        <f>I23-I24+I26-I27</f>
        <v>75</v>
      </c>
      <c r="J28" s="129">
        <f>J23-J24+J26-J27</f>
        <v>43</v>
      </c>
      <c r="K28" s="129">
        <f>K23-K24+K26-K27</f>
        <v>135</v>
      </c>
      <c r="L28" s="129">
        <f>L23-L24+L26-L27</f>
        <v>55</v>
      </c>
    </row>
    <row r="29" spans="2:12" ht="11.25" customHeight="1" x14ac:dyDescent="0.25"/>
    <row r="30" spans="2:12" ht="15" customHeight="1" x14ac:dyDescent="0.25">
      <c r="B30" s="146" t="str">
        <f>Ressources!C25</f>
        <v>Historique des finances du 1er Primétoile de l'année précédente au 1er Primétoile de l'année 4E 217 :</v>
      </c>
    </row>
    <row r="31" spans="2:12" x14ac:dyDescent="0.25">
      <c r="B31" s="236" t="s">
        <v>232</v>
      </c>
      <c r="C31" s="266"/>
      <c r="D31" s="266"/>
      <c r="E31" s="266"/>
      <c r="F31" s="267"/>
      <c r="G31" s="135">
        <v>204000</v>
      </c>
      <c r="H31" s="149" t="s">
        <v>131</v>
      </c>
    </row>
    <row r="32" spans="2:12" x14ac:dyDescent="0.25">
      <c r="B32" s="220" t="s">
        <v>241</v>
      </c>
      <c r="C32" s="225"/>
      <c r="D32" s="225"/>
      <c r="E32" s="225"/>
      <c r="F32" s="226"/>
      <c r="G32" s="136">
        <v>11</v>
      </c>
      <c r="H32" s="150" t="s">
        <v>131</v>
      </c>
    </row>
    <row r="33" spans="2:8" x14ac:dyDescent="0.25">
      <c r="B33" s="220" t="s">
        <v>240</v>
      </c>
      <c r="C33" s="225"/>
      <c r="D33" s="225"/>
      <c r="E33" s="225"/>
      <c r="F33" s="226"/>
      <c r="G33" s="136">
        <v>12</v>
      </c>
      <c r="H33" s="150" t="s">
        <v>131</v>
      </c>
    </row>
    <row r="34" spans="2:8" x14ac:dyDescent="0.25">
      <c r="B34" s="220" t="s">
        <v>239</v>
      </c>
      <c r="C34" s="225"/>
      <c r="D34" s="225"/>
      <c r="E34" s="225"/>
      <c r="F34" s="226"/>
      <c r="G34" s="136">
        <v>13</v>
      </c>
      <c r="H34" s="150" t="s">
        <v>131</v>
      </c>
    </row>
    <row r="35" spans="2:8" x14ac:dyDescent="0.25">
      <c r="B35" s="220" t="s">
        <v>238</v>
      </c>
      <c r="C35" s="225"/>
      <c r="D35" s="225"/>
      <c r="E35" s="225"/>
      <c r="F35" s="226"/>
      <c r="G35" s="137">
        <v>14</v>
      </c>
      <c r="H35" s="150" t="s">
        <v>131</v>
      </c>
    </row>
    <row r="36" spans="2:8" x14ac:dyDescent="0.25">
      <c r="B36" s="220" t="s">
        <v>229</v>
      </c>
      <c r="C36" s="225"/>
      <c r="D36" s="225"/>
      <c r="E36" s="225"/>
      <c r="F36" s="226"/>
      <c r="G36" s="137">
        <v>15</v>
      </c>
      <c r="H36" s="150" t="s">
        <v>131</v>
      </c>
    </row>
    <row r="37" spans="2:8" x14ac:dyDescent="0.25">
      <c r="B37" s="220" t="s">
        <v>219</v>
      </c>
      <c r="C37" s="225"/>
      <c r="D37" s="225"/>
      <c r="E37" s="225"/>
      <c r="F37" s="226"/>
      <c r="G37" s="137">
        <v>160016</v>
      </c>
      <c r="H37" s="150" t="s">
        <v>131</v>
      </c>
    </row>
    <row r="38" spans="2:8" x14ac:dyDescent="0.25">
      <c r="B38" s="220" t="s">
        <v>220</v>
      </c>
      <c r="C38" s="225"/>
      <c r="D38" s="225"/>
      <c r="E38" s="225"/>
      <c r="F38" s="226"/>
      <c r="G38" s="137">
        <v>17</v>
      </c>
      <c r="H38" s="150" t="s">
        <v>131</v>
      </c>
    </row>
    <row r="39" spans="2:8" x14ac:dyDescent="0.25">
      <c r="B39" s="236" t="s">
        <v>143</v>
      </c>
      <c r="C39" s="266"/>
      <c r="D39" s="266"/>
      <c r="E39" s="266"/>
      <c r="F39" s="267"/>
      <c r="G39" s="138">
        <f>Ressources!P34</f>
        <v>48750</v>
      </c>
      <c r="H39" s="153" t="s">
        <v>131</v>
      </c>
    </row>
    <row r="40" spans="2:8" x14ac:dyDescent="0.25">
      <c r="B40" s="220" t="s">
        <v>130</v>
      </c>
      <c r="C40" s="225"/>
      <c r="D40" s="225"/>
      <c r="E40" s="225"/>
      <c r="F40" s="226"/>
      <c r="G40" s="132">
        <f>Ressources!P35</f>
        <v>87500</v>
      </c>
      <c r="H40" s="151" t="s">
        <v>131</v>
      </c>
    </row>
    <row r="41" spans="2:8" x14ac:dyDescent="0.25">
      <c r="B41" s="220" t="s">
        <v>236</v>
      </c>
      <c r="C41" s="225"/>
      <c r="D41" s="225"/>
      <c r="E41" s="225"/>
      <c r="F41" s="226"/>
      <c r="G41" s="132">
        <f>TRUNC(G27+H27+I27+J27+K27+L27)*250</f>
        <v>0</v>
      </c>
      <c r="H41" s="151" t="s">
        <v>131</v>
      </c>
    </row>
    <row r="42" spans="2:8" x14ac:dyDescent="0.25">
      <c r="B42" s="220" t="s">
        <v>179</v>
      </c>
      <c r="C42" s="225"/>
      <c r="D42" s="225"/>
      <c r="E42" s="225"/>
      <c r="F42" s="226"/>
      <c r="G42" s="121">
        <v>88</v>
      </c>
      <c r="H42" s="150" t="s">
        <v>191</v>
      </c>
    </row>
    <row r="43" spans="2:8" x14ac:dyDescent="0.25">
      <c r="B43" s="220" t="s">
        <v>132</v>
      </c>
      <c r="C43" s="225"/>
      <c r="D43" s="225"/>
      <c r="E43" s="225"/>
      <c r="F43" s="226"/>
      <c r="G43" s="155">
        <f>G42*200</f>
        <v>17600</v>
      </c>
      <c r="H43" s="151" t="s">
        <v>131</v>
      </c>
    </row>
    <row r="44" spans="2:8" x14ac:dyDescent="0.25">
      <c r="B44" s="220" t="s">
        <v>192</v>
      </c>
      <c r="C44" s="225"/>
      <c r="D44" s="225"/>
      <c r="E44" s="225"/>
      <c r="F44" s="226"/>
      <c r="G44" s="132">
        <f>Ressources!P39</f>
        <v>60000</v>
      </c>
      <c r="H44" s="151" t="s">
        <v>131</v>
      </c>
    </row>
    <row r="45" spans="2:8" x14ac:dyDescent="0.25">
      <c r="B45" s="220" t="s">
        <v>133</v>
      </c>
      <c r="C45" s="225"/>
      <c r="D45" s="225"/>
      <c r="E45" s="225"/>
      <c r="F45" s="226"/>
      <c r="G45" s="156">
        <f>Ressources!P40</f>
        <v>0</v>
      </c>
      <c r="H45" s="151" t="s">
        <v>131</v>
      </c>
    </row>
    <row r="46" spans="2:8" x14ac:dyDescent="0.25">
      <c r="B46" s="220" t="s">
        <v>134</v>
      </c>
      <c r="C46" s="225"/>
      <c r="D46" s="225"/>
      <c r="E46" s="225"/>
      <c r="F46" s="226"/>
      <c r="G46" s="156">
        <f>Ressources!P41</f>
        <v>87500</v>
      </c>
      <c r="H46" s="152" t="s">
        <v>131</v>
      </c>
    </row>
    <row r="47" spans="2:8" x14ac:dyDescent="0.25">
      <c r="B47" s="236" t="s">
        <v>144</v>
      </c>
      <c r="C47" s="266"/>
      <c r="D47" s="266"/>
      <c r="E47" s="266"/>
      <c r="F47" s="267"/>
      <c r="G47" s="138">
        <f>Ressources!P42</f>
        <v>136250</v>
      </c>
      <c r="H47" s="153" t="s">
        <v>131</v>
      </c>
    </row>
    <row r="48" spans="2:8" x14ac:dyDescent="0.25">
      <c r="B48" s="139"/>
      <c r="C48" s="139"/>
      <c r="D48" s="139"/>
      <c r="E48" s="139"/>
      <c r="F48" s="139"/>
    </row>
    <row r="49" spans="2:8" ht="15.75" x14ac:dyDescent="0.25">
      <c r="B49" s="146" t="str">
        <f>Ressources!I44</f>
        <v>Historique des finances de l'année 4E 217 :</v>
      </c>
    </row>
    <row r="50" spans="2:8" x14ac:dyDescent="0.25">
      <c r="B50" s="236" t="s">
        <v>143</v>
      </c>
      <c r="C50" s="266"/>
      <c r="D50" s="266"/>
      <c r="E50" s="266"/>
      <c r="F50" s="267"/>
      <c r="G50" s="135">
        <v>37900</v>
      </c>
      <c r="H50" s="149" t="s">
        <v>131</v>
      </c>
    </row>
    <row r="51" spans="2:8" x14ac:dyDescent="0.25">
      <c r="B51" s="220" t="s">
        <v>130</v>
      </c>
      <c r="C51" s="225"/>
      <c r="D51" s="225"/>
      <c r="E51" s="225"/>
      <c r="F51" s="226"/>
      <c r="G51" s="132">
        <f>Ressources!P46</f>
        <v>87500</v>
      </c>
      <c r="H51" s="151" t="s">
        <v>131</v>
      </c>
    </row>
    <row r="52" spans="2:8" x14ac:dyDescent="0.25">
      <c r="B52" s="220" t="s">
        <v>236</v>
      </c>
      <c r="C52" s="225"/>
      <c r="D52" s="225"/>
      <c r="E52" s="225"/>
      <c r="F52" s="226"/>
      <c r="G52" s="132">
        <f>TRUNC(G27+H27+I27+J27+K27+L27)*250</f>
        <v>0</v>
      </c>
      <c r="H52" s="151" t="s">
        <v>131</v>
      </c>
    </row>
    <row r="53" spans="2:8" x14ac:dyDescent="0.25">
      <c r="B53" s="220" t="s">
        <v>179</v>
      </c>
      <c r="C53" s="225"/>
      <c r="D53" s="225"/>
      <c r="E53" s="225"/>
      <c r="F53" s="226"/>
      <c r="G53" s="121">
        <v>55</v>
      </c>
      <c r="H53" s="150" t="s">
        <v>191</v>
      </c>
    </row>
    <row r="54" spans="2:8" x14ac:dyDescent="0.25">
      <c r="B54" s="220" t="s">
        <v>132</v>
      </c>
      <c r="C54" s="225"/>
      <c r="D54" s="225"/>
      <c r="E54" s="225"/>
      <c r="F54" s="226"/>
      <c r="G54" s="155">
        <f>Ressources!P49</f>
        <v>60000</v>
      </c>
      <c r="H54" s="151" t="s">
        <v>131</v>
      </c>
    </row>
    <row r="55" spans="2:8" x14ac:dyDescent="0.25">
      <c r="B55" s="220" t="s">
        <v>192</v>
      </c>
      <c r="C55" s="225"/>
      <c r="D55" s="225"/>
      <c r="E55" s="225"/>
      <c r="F55" s="226"/>
      <c r="G55" s="132">
        <f>Ressources!P50</f>
        <v>60000</v>
      </c>
      <c r="H55" s="151" t="s">
        <v>131</v>
      </c>
    </row>
    <row r="56" spans="2:8" x14ac:dyDescent="0.25">
      <c r="B56" s="220" t="s">
        <v>133</v>
      </c>
      <c r="C56" s="225"/>
      <c r="D56" s="225"/>
      <c r="E56" s="225"/>
      <c r="F56" s="226"/>
      <c r="G56" s="156">
        <f>Ressources!P51</f>
        <v>0</v>
      </c>
      <c r="H56" s="151" t="s">
        <v>131</v>
      </c>
    </row>
    <row r="57" spans="2:8" x14ac:dyDescent="0.25">
      <c r="B57" s="220" t="s">
        <v>134</v>
      </c>
      <c r="C57" s="225"/>
      <c r="D57" s="225"/>
      <c r="E57" s="225"/>
      <c r="F57" s="226"/>
      <c r="G57" s="156">
        <f>Ressources!P52</f>
        <v>87500</v>
      </c>
      <c r="H57" s="152" t="s">
        <v>131</v>
      </c>
    </row>
    <row r="58" spans="2:8" x14ac:dyDescent="0.25">
      <c r="B58" s="236" t="s">
        <v>144</v>
      </c>
      <c r="C58" s="266"/>
      <c r="D58" s="266"/>
      <c r="E58" s="266"/>
      <c r="F58" s="267"/>
      <c r="G58" s="138">
        <f>Ressources!P53</f>
        <v>125400</v>
      </c>
      <c r="H58" s="153" t="s">
        <v>131</v>
      </c>
    </row>
    <row r="59" spans="2:8" x14ac:dyDescent="0.25">
      <c r="B59" s="220" t="s">
        <v>241</v>
      </c>
      <c r="C59" s="225"/>
      <c r="D59" s="225"/>
      <c r="E59" s="225"/>
      <c r="F59" s="226"/>
      <c r="G59" s="136">
        <v>11</v>
      </c>
      <c r="H59" s="150" t="s">
        <v>131</v>
      </c>
    </row>
    <row r="60" spans="2:8" x14ac:dyDescent="0.25">
      <c r="B60" s="220" t="s">
        <v>240</v>
      </c>
      <c r="C60" s="225"/>
      <c r="D60" s="225"/>
      <c r="E60" s="225"/>
      <c r="F60" s="226"/>
      <c r="G60" s="136">
        <v>22</v>
      </c>
      <c r="H60" s="150" t="s">
        <v>131</v>
      </c>
    </row>
    <row r="61" spans="2:8" x14ac:dyDescent="0.25">
      <c r="B61" s="220" t="s">
        <v>239</v>
      </c>
      <c r="C61" s="225"/>
      <c r="D61" s="225"/>
      <c r="E61" s="225"/>
      <c r="F61" s="226"/>
      <c r="G61" s="136">
        <v>33</v>
      </c>
      <c r="H61" s="150" t="s">
        <v>131</v>
      </c>
    </row>
    <row r="62" spans="2:8" x14ac:dyDescent="0.25">
      <c r="B62" s="220" t="s">
        <v>238</v>
      </c>
      <c r="C62" s="225"/>
      <c r="D62" s="225"/>
      <c r="E62" s="225"/>
      <c r="F62" s="226"/>
      <c r="G62" s="137">
        <v>44</v>
      </c>
      <c r="H62" s="150" t="s">
        <v>131</v>
      </c>
    </row>
    <row r="63" spans="2:8" x14ac:dyDescent="0.25">
      <c r="B63" s="220" t="s">
        <v>229</v>
      </c>
      <c r="C63" s="225"/>
      <c r="D63" s="225"/>
      <c r="E63" s="225"/>
      <c r="F63" s="226"/>
      <c r="G63" s="137">
        <v>55</v>
      </c>
      <c r="H63" s="150" t="s">
        <v>131</v>
      </c>
    </row>
    <row r="64" spans="2:8" x14ac:dyDescent="0.25">
      <c r="B64" s="220" t="s">
        <v>219</v>
      </c>
      <c r="C64" s="225"/>
      <c r="D64" s="225"/>
      <c r="E64" s="225"/>
      <c r="F64" s="226"/>
      <c r="G64" s="137">
        <v>4542</v>
      </c>
      <c r="H64" s="150" t="s">
        <v>131</v>
      </c>
    </row>
    <row r="65" spans="2:13" x14ac:dyDescent="0.25">
      <c r="B65" s="220" t="s">
        <v>220</v>
      </c>
      <c r="C65" s="225"/>
      <c r="D65" s="225"/>
      <c r="E65" s="225"/>
      <c r="F65" s="226"/>
      <c r="G65" s="137">
        <v>66</v>
      </c>
      <c r="H65" s="150" t="s">
        <v>131</v>
      </c>
    </row>
    <row r="66" spans="2:13" x14ac:dyDescent="0.25">
      <c r="B66" s="236" t="s">
        <v>264</v>
      </c>
      <c r="C66" s="266"/>
      <c r="D66" s="266"/>
      <c r="E66" s="266"/>
      <c r="F66" s="267"/>
      <c r="G66" s="138">
        <f>Ressources!P61</f>
        <v>38400</v>
      </c>
      <c r="H66" s="153" t="s">
        <v>131</v>
      </c>
    </row>
    <row r="78" spans="2:13" ht="3.75" customHeight="1" x14ac:dyDescent="0.25">
      <c r="F78" t="s">
        <v>98</v>
      </c>
      <c r="G78" t="s">
        <v>311</v>
      </c>
      <c r="M78" t="s">
        <v>312</v>
      </c>
    </row>
    <row r="79" spans="2:13" ht="3.75" customHeight="1" x14ac:dyDescent="0.25">
      <c r="F79" s="111">
        <f>SMALL(G79:M79,1)</f>
        <v>9</v>
      </c>
      <c r="G79" s="111">
        <f t="shared" ref="G79:K79" si="1">TRUNC((G23/3),0)</f>
        <v>30</v>
      </c>
      <c r="H79" s="111">
        <f t="shared" si="1"/>
        <v>23</v>
      </c>
      <c r="I79" s="111">
        <f>TRUNC((I23/3),0)</f>
        <v>23</v>
      </c>
      <c r="J79" s="111">
        <f t="shared" si="1"/>
        <v>23</v>
      </c>
      <c r="K79" s="111">
        <f t="shared" si="1"/>
        <v>46</v>
      </c>
      <c r="L79" s="111">
        <f>TRUNC((L23/3),0)</f>
        <v>23</v>
      </c>
      <c r="M79" s="111">
        <f>I11</f>
        <v>9</v>
      </c>
    </row>
  </sheetData>
  <mergeCells count="50">
    <mergeCell ref="B63:F63"/>
    <mergeCell ref="B64:F64"/>
    <mergeCell ref="B65:F65"/>
    <mergeCell ref="B66:F66"/>
    <mergeCell ref="B57:F57"/>
    <mergeCell ref="B58:F58"/>
    <mergeCell ref="B59:F59"/>
    <mergeCell ref="B60:F60"/>
    <mergeCell ref="B61:F61"/>
    <mergeCell ref="B62:F62"/>
    <mergeCell ref="B56:F56"/>
    <mergeCell ref="B43:F43"/>
    <mergeCell ref="B44:F44"/>
    <mergeCell ref="B45:F45"/>
    <mergeCell ref="B46:F46"/>
    <mergeCell ref="B47:F47"/>
    <mergeCell ref="B50:F50"/>
    <mergeCell ref="B51:F51"/>
    <mergeCell ref="B52:F52"/>
    <mergeCell ref="B53:F53"/>
    <mergeCell ref="B54:F54"/>
    <mergeCell ref="B55:F55"/>
    <mergeCell ref="B42:F42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28:F28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G22:J22"/>
    <mergeCell ref="D10:G10"/>
    <mergeCell ref="D11:F11"/>
    <mergeCell ref="G16:I16"/>
    <mergeCell ref="K16:L16"/>
  </mergeCells>
  <conditionalFormatting sqref="F13">
    <cfRule type="containsText" dxfId="59" priority="6" operator="containsText" text="Erreur !">
      <formula>NOT(ISERROR(SEARCH("Erreur !",F13)))</formula>
    </cfRule>
  </conditionalFormatting>
  <conditionalFormatting sqref="I11">
    <cfRule type="containsText" dxfId="58" priority="5" operator="containsText" text="Province ?">
      <formula>NOT(ISERROR(SEARCH("Province ?",I11)))</formula>
    </cfRule>
  </conditionalFormatting>
  <conditionalFormatting sqref="G66">
    <cfRule type="cellIs" dxfId="57" priority="1" operator="lessThan">
      <formula>0</formula>
    </cfRule>
  </conditionalFormatting>
  <conditionalFormatting sqref="G46">
    <cfRule type="cellIs" dxfId="56" priority="4" operator="equal">
      <formula>0</formula>
    </cfRule>
  </conditionalFormatting>
  <conditionalFormatting sqref="G39">
    <cfRule type="cellIs" dxfId="55" priority="3" operator="lessThan">
      <formula>0</formula>
    </cfRule>
  </conditionalFormatting>
  <conditionalFormatting sqref="G57">
    <cfRule type="cellIs" dxfId="54" priority="2" operator="equal">
      <formula>0</formula>
    </cfRule>
  </conditionalFormatting>
  <dataValidations count="7">
    <dataValidation errorStyle="information" allowBlank="1" showInputMessage="1" showErrorMessage="1" sqref="D11:F11"/>
    <dataValidation type="whole" errorStyle="warning" allowBlank="1" showInputMessage="1" showErrorMessage="1" errorTitle="Nombre non valide" error="Veuillez mettre un nombre entier compris entre 0 et le maximum de villes que vous pouvez alimenter en ressources." sqref="I12">
      <formula1>0</formula1>
      <formula2>I13</formula2>
    </dataValidation>
    <dataValidation type="whole" errorStyle="warning" operator="greaterThanOrEqual" allowBlank="1" showInputMessage="1" showErrorMessage="1" errorTitle="Nombre entier uniquement" error="Les stocks et variations de marchandises s'expriment uniquement en nombre entiers supérieurs ou égal à 0. Merci." sqref="K22 G18:L20 H21:L21">
      <formula1>0</formula1>
    </dataValidation>
    <dataValidation type="whole" operator="greaterThanOrEqual" allowBlank="1" showInputMessage="1" showErrorMessage="1" errorTitle="Chiffre entiers uniquement" error="Les bataillons sont toujours décomptés en nombre entier positifs dans cette version du Wargame." sqref="G42 G53">
      <formula1>0</formula1>
    </dataValidation>
    <dataValidation type="whole" operator="greaterThanOrEqual" allowBlank="1" showInputMessage="1" showErrorMessage="1" errorTitle="Nombre entier uniquement" error="La trésorerie ne peut avoir qu'une valeur entière supérieure ou égale à 0." sqref="G31 G66 G50 G39:G40">
      <formula1>0</formula1>
    </dataValidation>
    <dataValidation type="whole" errorStyle="warning" operator="greaterThanOrEqual" allowBlank="1" showInputMessage="1" showErrorMessage="1" errorTitle="Nombre entier positif uniquement" error="Les mouvements d'argent doivent être indiqués en nombres positifs (soustraction automatique sur le solde)." sqref="G32:G38 G59:G65">
      <formula1>0</formula1>
    </dataValidation>
    <dataValidation operator="greaterThanOrEqual" allowBlank="1" showInputMessage="1" showErrorMessage="1" errorTitle="Nombre entier uniquement" error="La trésorerie ne peut avoir qu'une valeur entière supérieure ou égale à 0." sqref="G41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errorStyle="information" allowBlank="1" showInputMessage="1" showErrorMessage="1" errorTitle="Trop ou pas assez de nourriture" error="• Vous ne possèdez pas cette quantité de nourriture._x000a_• Ou vos soldats sont déjà intégralement payés avec autant de nourriture. Inutile de leur donner plus que le maximum demandé.">
          <x14:formula1>
            <xm:f>0</xm:f>
          </x14:formula1>
          <x14:formula2>
            <xm:f>Ressources!P164</xm:f>
          </x14:formula2>
          <xm:sqref>G25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9"/>
  <sheetViews>
    <sheetView topLeftCell="A9" workbookViewId="0">
      <selection activeCell="P42" sqref="P42"/>
    </sheetView>
  </sheetViews>
  <sheetFormatPr baseColWidth="10" defaultRowHeight="15" x14ac:dyDescent="0.25"/>
  <cols>
    <col min="1" max="1" width="1.42578125" customWidth="1"/>
    <col min="5" max="5" width="2.85546875" customWidth="1"/>
    <col min="6" max="6" width="8.5703125" customWidth="1"/>
    <col min="7" max="12" width="10.7109375" customWidth="1"/>
  </cols>
  <sheetData>
    <row r="1" spans="2:12" ht="18.75" x14ac:dyDescent="0.3">
      <c r="B1" s="212" t="s">
        <v>286</v>
      </c>
    </row>
    <row r="2" spans="2:12" x14ac:dyDescent="0.25">
      <c r="B2" s="186"/>
    </row>
    <row r="3" spans="2:12" x14ac:dyDescent="0.25">
      <c r="B3" t="s">
        <v>275</v>
      </c>
    </row>
    <row r="4" spans="2:12" x14ac:dyDescent="0.25">
      <c r="B4" t="s">
        <v>303</v>
      </c>
    </row>
    <row r="5" spans="2:12" x14ac:dyDescent="0.25">
      <c r="B5" t="s">
        <v>273</v>
      </c>
    </row>
    <row r="6" spans="2:12" x14ac:dyDescent="0.25">
      <c r="B6" t="s">
        <v>274</v>
      </c>
    </row>
    <row r="7" spans="2:12" x14ac:dyDescent="0.25">
      <c r="B7" t="s">
        <v>304</v>
      </c>
    </row>
    <row r="9" spans="2:12" ht="15" customHeight="1" x14ac:dyDescent="0.25">
      <c r="B9" s="125" t="s">
        <v>202</v>
      </c>
    </row>
    <row r="10" spans="2:12" x14ac:dyDescent="0.25">
      <c r="B10" s="8" t="s">
        <v>92</v>
      </c>
      <c r="D10" s="280" t="s">
        <v>20</v>
      </c>
      <c r="E10" s="281"/>
      <c r="F10" s="281"/>
      <c r="G10" s="282"/>
      <c r="J10" s="126" t="s">
        <v>277</v>
      </c>
    </row>
    <row r="11" spans="2:12" x14ac:dyDescent="0.25">
      <c r="B11" t="s">
        <v>93</v>
      </c>
      <c r="D11" s="274" t="str">
        <f>Ressources!G7</f>
        <v>4E 217</v>
      </c>
      <c r="E11" s="275"/>
      <c r="F11" s="276"/>
      <c r="H11" s="142" t="s">
        <v>255</v>
      </c>
      <c r="I11" s="83">
        <f>Ressources!H172</f>
        <v>9</v>
      </c>
      <c r="J11" s="12"/>
    </row>
    <row r="12" spans="2:12" x14ac:dyDescent="0.25">
      <c r="H12" s="154" t="s">
        <v>257</v>
      </c>
      <c r="I12" s="82">
        <v>0</v>
      </c>
      <c r="J12" s="126" t="s">
        <v>266</v>
      </c>
      <c r="K12" s="8"/>
    </row>
    <row r="13" spans="2:12" x14ac:dyDescent="0.25">
      <c r="D13" s="142" t="s">
        <v>182</v>
      </c>
      <c r="E13" s="130" t="s">
        <v>181</v>
      </c>
      <c r="F13" s="131">
        <f>IF(I11&lt;I12,"Erreur !",I12*2.5/I11)</f>
        <v>0</v>
      </c>
      <c r="H13" s="142" t="s">
        <v>180</v>
      </c>
      <c r="I13" s="117">
        <f>F79</f>
        <v>0</v>
      </c>
      <c r="J13" t="s">
        <v>256</v>
      </c>
    </row>
    <row r="14" spans="2:12" ht="11.25" customHeight="1" x14ac:dyDescent="0.25"/>
    <row r="15" spans="2:12" ht="15" customHeight="1" x14ac:dyDescent="0.25">
      <c r="B15" s="125" t="s">
        <v>317</v>
      </c>
    </row>
    <row r="16" spans="2:12" x14ac:dyDescent="0.25">
      <c r="G16" s="220" t="s">
        <v>233</v>
      </c>
      <c r="H16" s="225"/>
      <c r="I16" s="226"/>
      <c r="J16" s="147">
        <f>Ressources!O11</f>
        <v>250</v>
      </c>
      <c r="K16" s="220" t="s">
        <v>234</v>
      </c>
      <c r="L16" s="226"/>
    </row>
    <row r="17" spans="2:12" x14ac:dyDescent="0.25">
      <c r="B17" s="13"/>
      <c r="G17" s="180" t="s">
        <v>7</v>
      </c>
      <c r="H17" s="180" t="s">
        <v>8</v>
      </c>
      <c r="I17" s="140" t="s">
        <v>9</v>
      </c>
      <c r="J17" s="140" t="s">
        <v>169</v>
      </c>
      <c r="K17" s="140" t="s">
        <v>170</v>
      </c>
      <c r="L17" s="140" t="s">
        <v>84</v>
      </c>
    </row>
    <row r="18" spans="2:12" x14ac:dyDescent="0.25">
      <c r="B18" s="235" t="s">
        <v>210</v>
      </c>
      <c r="C18" s="235"/>
      <c r="D18" s="235"/>
      <c r="E18" s="235"/>
      <c r="F18" s="235"/>
      <c r="G18" s="177">
        <v>64</v>
      </c>
      <c r="H18" s="177">
        <v>28</v>
      </c>
      <c r="I18" s="128">
        <v>32</v>
      </c>
      <c r="J18" s="128">
        <v>0</v>
      </c>
      <c r="K18" s="128">
        <v>24</v>
      </c>
      <c r="L18" s="128">
        <v>12</v>
      </c>
    </row>
    <row r="19" spans="2:12" x14ac:dyDescent="0.25">
      <c r="B19" s="219" t="s">
        <v>208</v>
      </c>
      <c r="C19" s="219"/>
      <c r="D19" s="219"/>
      <c r="E19" s="219"/>
      <c r="F19" s="219"/>
      <c r="G19" s="184">
        <v>0</v>
      </c>
      <c r="H19" s="184">
        <v>0</v>
      </c>
      <c r="I19" s="107">
        <v>0</v>
      </c>
      <c r="J19" s="107">
        <v>0</v>
      </c>
      <c r="K19" s="107">
        <v>3</v>
      </c>
      <c r="L19" s="107">
        <v>0</v>
      </c>
    </row>
    <row r="20" spans="2:12" x14ac:dyDescent="0.25">
      <c r="B20" s="219" t="s">
        <v>209</v>
      </c>
      <c r="C20" s="219"/>
      <c r="D20" s="219"/>
      <c r="E20" s="219"/>
      <c r="F20" s="219"/>
      <c r="G20" s="181">
        <v>0</v>
      </c>
      <c r="H20" s="181">
        <v>0</v>
      </c>
      <c r="I20" s="108">
        <v>8</v>
      </c>
      <c r="J20" s="108">
        <v>0</v>
      </c>
      <c r="K20" s="108">
        <v>0</v>
      </c>
      <c r="L20" s="108">
        <v>0</v>
      </c>
    </row>
    <row r="21" spans="2:12" x14ac:dyDescent="0.25">
      <c r="B21" s="219" t="s">
        <v>190</v>
      </c>
      <c r="C21" s="219"/>
      <c r="D21" s="219"/>
      <c r="E21" s="219"/>
      <c r="F21" s="219"/>
      <c r="G21" s="182"/>
      <c r="H21" s="181">
        <v>0</v>
      </c>
      <c r="I21" s="108">
        <v>0</v>
      </c>
      <c r="J21" s="108">
        <v>0</v>
      </c>
      <c r="K21" s="108">
        <v>0</v>
      </c>
      <c r="L21" s="108">
        <v>0</v>
      </c>
    </row>
    <row r="22" spans="2:12" x14ac:dyDescent="0.25">
      <c r="B22" s="219" t="s">
        <v>194</v>
      </c>
      <c r="C22" s="219"/>
      <c r="D22" s="219"/>
      <c r="E22" s="219"/>
      <c r="F22" s="219"/>
      <c r="G22" s="220"/>
      <c r="H22" s="225"/>
      <c r="I22" s="225"/>
      <c r="J22" s="226"/>
      <c r="K22" s="108">
        <v>27</v>
      </c>
      <c r="L22" s="96"/>
    </row>
    <row r="23" spans="2:12" x14ac:dyDescent="0.25">
      <c r="B23" s="219" t="s">
        <v>193</v>
      </c>
      <c r="C23" s="219"/>
      <c r="D23" s="219"/>
      <c r="E23" s="219"/>
      <c r="F23" s="219"/>
      <c r="G23" s="200">
        <f>G18+G19-G20</f>
        <v>64</v>
      </c>
      <c r="H23" s="200">
        <f>H18+H19-H20-H21</f>
        <v>28</v>
      </c>
      <c r="I23" s="111">
        <f>I18+I19-I20-I21</f>
        <v>24</v>
      </c>
      <c r="J23" s="111">
        <f>J18+J19-J20-J21</f>
        <v>0</v>
      </c>
      <c r="K23" s="111">
        <f>K18+K19-K20-K21-K22</f>
        <v>0</v>
      </c>
      <c r="L23" s="111">
        <f>L18+L19-L20-L21-L22</f>
        <v>12</v>
      </c>
    </row>
    <row r="24" spans="2:12" x14ac:dyDescent="0.25">
      <c r="B24" s="219" t="s">
        <v>218</v>
      </c>
      <c r="C24" s="219"/>
      <c r="D24" s="219"/>
      <c r="E24" s="219"/>
      <c r="F24" s="219"/>
      <c r="G24" s="198">
        <f>3*$I12</f>
        <v>0</v>
      </c>
      <c r="H24" s="198">
        <f t="shared" ref="H24:L24" si="0">3*$I12</f>
        <v>0</v>
      </c>
      <c r="I24" s="198">
        <f t="shared" si="0"/>
        <v>0</v>
      </c>
      <c r="J24" s="198">
        <f t="shared" si="0"/>
        <v>0</v>
      </c>
      <c r="K24" s="198">
        <f t="shared" si="0"/>
        <v>0</v>
      </c>
      <c r="L24" s="110">
        <f t="shared" si="0"/>
        <v>0</v>
      </c>
    </row>
    <row r="25" spans="2:12" x14ac:dyDescent="0.25">
      <c r="B25" s="219" t="s">
        <v>128</v>
      </c>
      <c r="C25" s="219"/>
      <c r="D25" s="219"/>
      <c r="E25" s="219"/>
      <c r="F25" s="219"/>
      <c r="G25" s="181">
        <v>60</v>
      </c>
      <c r="H25" s="213" t="s">
        <v>196</v>
      </c>
      <c r="I25" s="118">
        <f>Ressources!M20</f>
        <v>60</v>
      </c>
      <c r="J25" s="115" t="s">
        <v>135</v>
      </c>
      <c r="K25" s="119"/>
      <c r="L25" s="85"/>
    </row>
    <row r="26" spans="2:12" x14ac:dyDescent="0.25">
      <c r="B26" s="219" t="s">
        <v>129</v>
      </c>
      <c r="C26" s="219"/>
      <c r="D26" s="219"/>
      <c r="E26" s="219"/>
      <c r="F26" s="219"/>
      <c r="G26" s="201">
        <f>Ressources!J21</f>
        <v>64</v>
      </c>
      <c r="H26" s="201">
        <f>Ressources!L21</f>
        <v>28</v>
      </c>
      <c r="I26" s="109">
        <f>Ressources!N21</f>
        <v>32</v>
      </c>
      <c r="J26" s="109">
        <f>Ressources!O21</f>
        <v>0</v>
      </c>
      <c r="K26" s="109">
        <f>Ressources!P21</f>
        <v>24</v>
      </c>
      <c r="L26" s="109">
        <f>Ressources!Q21</f>
        <v>12</v>
      </c>
    </row>
    <row r="27" spans="2:12" x14ac:dyDescent="0.25">
      <c r="B27" s="219" t="s">
        <v>235</v>
      </c>
      <c r="C27" s="219"/>
      <c r="D27" s="219"/>
      <c r="E27" s="219"/>
      <c r="F27" s="219"/>
      <c r="G27" s="198">
        <f>IF(G23-G24+G26-G25&gt;$J16,G23-G24+G26-G25-$J16,0)</f>
        <v>0</v>
      </c>
      <c r="H27" s="198">
        <f>IF(H23-H24+H26&gt;$J16,H23-H24+H26-$J16,0)</f>
        <v>0</v>
      </c>
      <c r="I27" s="110">
        <f>IF(I23-I24+I26&gt;$J16,I23-I24+I26-$J16,0)</f>
        <v>0</v>
      </c>
      <c r="J27" s="110">
        <f>IF(J23-J24+J26&gt;$J16,J23-J24+J26-$J16,0)</f>
        <v>0</v>
      </c>
      <c r="K27" s="110">
        <f>IF(K23-K24+K26&gt;$J16,K23-K24+K26-$J16,0)</f>
        <v>0</v>
      </c>
      <c r="L27" s="110">
        <f>IF(L23-L24+L26&gt;$J16,L23-L24+L26-$J16,0)</f>
        <v>0</v>
      </c>
    </row>
    <row r="28" spans="2:12" x14ac:dyDescent="0.25">
      <c r="B28" s="235" t="s">
        <v>217</v>
      </c>
      <c r="C28" s="235"/>
      <c r="D28" s="235"/>
      <c r="E28" s="235"/>
      <c r="F28" s="235"/>
      <c r="G28" s="199">
        <f>G23-G24+G26-G25-G27</f>
        <v>68</v>
      </c>
      <c r="H28" s="199">
        <f>H23-H24+H26-H27</f>
        <v>56</v>
      </c>
      <c r="I28" s="129">
        <f>I23-I24+I26-I27</f>
        <v>56</v>
      </c>
      <c r="J28" s="129">
        <f>J23-J24+J26-J27</f>
        <v>0</v>
      </c>
      <c r="K28" s="129">
        <f>K23-K24+K26-K27</f>
        <v>24</v>
      </c>
      <c r="L28" s="129">
        <f>L23-L24+L26-L27</f>
        <v>24</v>
      </c>
    </row>
    <row r="29" spans="2:12" ht="11.25" customHeight="1" x14ac:dyDescent="0.25"/>
    <row r="30" spans="2:12" ht="15" customHeight="1" x14ac:dyDescent="0.25">
      <c r="B30" s="146" t="str">
        <f>Ressources!C25</f>
        <v>Historique des finances du 1er Primétoile de l'année précédente au 1er Primétoile de l'année 4E 217 :</v>
      </c>
    </row>
    <row r="31" spans="2:12" x14ac:dyDescent="0.25">
      <c r="B31" s="236" t="s">
        <v>232</v>
      </c>
      <c r="C31" s="266"/>
      <c r="D31" s="266"/>
      <c r="E31" s="266"/>
      <c r="F31" s="267"/>
      <c r="G31" s="135">
        <v>108750</v>
      </c>
      <c r="H31" s="149" t="s">
        <v>131</v>
      </c>
    </row>
    <row r="32" spans="2:12" x14ac:dyDescent="0.25">
      <c r="B32" s="220" t="s">
        <v>241</v>
      </c>
      <c r="C32" s="225"/>
      <c r="D32" s="225"/>
      <c r="E32" s="225"/>
      <c r="F32" s="226"/>
      <c r="G32" s="136">
        <v>0</v>
      </c>
      <c r="H32" s="150" t="s">
        <v>131</v>
      </c>
    </row>
    <row r="33" spans="2:8" x14ac:dyDescent="0.25">
      <c r="B33" s="220" t="s">
        <v>240</v>
      </c>
      <c r="C33" s="225"/>
      <c r="D33" s="225"/>
      <c r="E33" s="225"/>
      <c r="F33" s="226"/>
      <c r="G33" s="136">
        <v>0</v>
      </c>
      <c r="H33" s="150" t="s">
        <v>131</v>
      </c>
    </row>
    <row r="34" spans="2:8" x14ac:dyDescent="0.25">
      <c r="B34" s="220" t="s">
        <v>239</v>
      </c>
      <c r="C34" s="225"/>
      <c r="D34" s="225"/>
      <c r="E34" s="225"/>
      <c r="F34" s="226"/>
      <c r="G34" s="136">
        <v>0</v>
      </c>
      <c r="H34" s="150" t="s">
        <v>131</v>
      </c>
    </row>
    <row r="35" spans="2:8" x14ac:dyDescent="0.25">
      <c r="B35" s="220" t="s">
        <v>238</v>
      </c>
      <c r="C35" s="225"/>
      <c r="D35" s="225"/>
      <c r="E35" s="225"/>
      <c r="F35" s="226"/>
      <c r="G35" s="137">
        <v>0</v>
      </c>
      <c r="H35" s="150" t="s">
        <v>131</v>
      </c>
    </row>
    <row r="36" spans="2:8" x14ac:dyDescent="0.25">
      <c r="B36" s="220" t="s">
        <v>229</v>
      </c>
      <c r="C36" s="225"/>
      <c r="D36" s="225"/>
      <c r="E36" s="225"/>
      <c r="F36" s="226"/>
      <c r="G36" s="137">
        <v>0</v>
      </c>
      <c r="H36" s="150" t="s">
        <v>131</v>
      </c>
    </row>
    <row r="37" spans="2:8" x14ac:dyDescent="0.25">
      <c r="B37" s="220" t="s">
        <v>219</v>
      </c>
      <c r="C37" s="225"/>
      <c r="D37" s="225"/>
      <c r="E37" s="225"/>
      <c r="F37" s="226"/>
      <c r="G37" s="137">
        <v>0</v>
      </c>
      <c r="H37" s="150" t="s">
        <v>131</v>
      </c>
    </row>
    <row r="38" spans="2:8" x14ac:dyDescent="0.25">
      <c r="B38" s="220" t="s">
        <v>220</v>
      </c>
      <c r="C38" s="225"/>
      <c r="D38" s="225"/>
      <c r="E38" s="225"/>
      <c r="F38" s="226"/>
      <c r="G38" s="137">
        <v>60000</v>
      </c>
      <c r="H38" s="150" t="s">
        <v>131</v>
      </c>
    </row>
    <row r="39" spans="2:8" x14ac:dyDescent="0.25">
      <c r="B39" s="236" t="s">
        <v>143</v>
      </c>
      <c r="C39" s="266"/>
      <c r="D39" s="266"/>
      <c r="E39" s="266"/>
      <c r="F39" s="267"/>
      <c r="G39" s="138">
        <f>Ressources!P34</f>
        <v>48750</v>
      </c>
      <c r="H39" s="153" t="s">
        <v>131</v>
      </c>
    </row>
    <row r="40" spans="2:8" x14ac:dyDescent="0.25">
      <c r="B40" s="220" t="s">
        <v>130</v>
      </c>
      <c r="C40" s="225"/>
      <c r="D40" s="225"/>
      <c r="E40" s="225"/>
      <c r="F40" s="226"/>
      <c r="G40" s="132">
        <f>Ressources!P35</f>
        <v>87500</v>
      </c>
      <c r="H40" s="151" t="s">
        <v>131</v>
      </c>
    </row>
    <row r="41" spans="2:8" x14ac:dyDescent="0.25">
      <c r="B41" s="220" t="s">
        <v>236</v>
      </c>
      <c r="C41" s="225"/>
      <c r="D41" s="225"/>
      <c r="E41" s="225"/>
      <c r="F41" s="226"/>
      <c r="G41" s="132">
        <f>TRUNC(G27+H27+I27+J27+K27+L27)*250</f>
        <v>0</v>
      </c>
      <c r="H41" s="151" t="s">
        <v>131</v>
      </c>
    </row>
    <row r="42" spans="2:8" x14ac:dyDescent="0.25">
      <c r="B42" s="220" t="s">
        <v>179</v>
      </c>
      <c r="C42" s="225"/>
      <c r="D42" s="225"/>
      <c r="E42" s="225"/>
      <c r="F42" s="226"/>
      <c r="G42" s="121">
        <v>300</v>
      </c>
      <c r="H42" s="150" t="s">
        <v>191</v>
      </c>
    </row>
    <row r="43" spans="2:8" x14ac:dyDescent="0.25">
      <c r="B43" s="220" t="s">
        <v>132</v>
      </c>
      <c r="C43" s="225"/>
      <c r="D43" s="225"/>
      <c r="E43" s="225"/>
      <c r="F43" s="226"/>
      <c r="G43" s="155">
        <f>G42*200</f>
        <v>60000</v>
      </c>
      <c r="H43" s="151" t="s">
        <v>131</v>
      </c>
    </row>
    <row r="44" spans="2:8" x14ac:dyDescent="0.25">
      <c r="B44" s="220" t="s">
        <v>192</v>
      </c>
      <c r="C44" s="225"/>
      <c r="D44" s="225"/>
      <c r="E44" s="225"/>
      <c r="F44" s="226"/>
      <c r="G44" s="132">
        <f>Ressources!P39</f>
        <v>60000</v>
      </c>
      <c r="H44" s="151" t="s">
        <v>131</v>
      </c>
    </row>
    <row r="45" spans="2:8" x14ac:dyDescent="0.25">
      <c r="B45" s="220" t="s">
        <v>133</v>
      </c>
      <c r="C45" s="225"/>
      <c r="D45" s="225"/>
      <c r="E45" s="225"/>
      <c r="F45" s="226"/>
      <c r="G45" s="156">
        <f>Ressources!P40</f>
        <v>0</v>
      </c>
      <c r="H45" s="151" t="s">
        <v>131</v>
      </c>
    </row>
    <row r="46" spans="2:8" x14ac:dyDescent="0.25">
      <c r="B46" s="220" t="s">
        <v>134</v>
      </c>
      <c r="C46" s="225"/>
      <c r="D46" s="225"/>
      <c r="E46" s="225"/>
      <c r="F46" s="226"/>
      <c r="G46" s="156">
        <f>Ressources!P41</f>
        <v>87500</v>
      </c>
      <c r="H46" s="152" t="s">
        <v>131</v>
      </c>
    </row>
    <row r="47" spans="2:8" x14ac:dyDescent="0.25">
      <c r="B47" s="236" t="s">
        <v>144</v>
      </c>
      <c r="C47" s="266"/>
      <c r="D47" s="266"/>
      <c r="E47" s="266"/>
      <c r="F47" s="267"/>
      <c r="G47" s="138">
        <f>Ressources!P42</f>
        <v>136250</v>
      </c>
      <c r="H47" s="153" t="s">
        <v>131</v>
      </c>
    </row>
    <row r="48" spans="2:8" x14ac:dyDescent="0.25">
      <c r="B48" s="139"/>
      <c r="C48" s="139"/>
      <c r="D48" s="139"/>
      <c r="E48" s="139"/>
      <c r="F48" s="139"/>
    </row>
    <row r="49" spans="2:8" ht="15.75" x14ac:dyDescent="0.25">
      <c r="B49" s="146" t="str">
        <f>Ressources!I44</f>
        <v>Historique des finances de l'année 4E 217 :</v>
      </c>
    </row>
    <row r="50" spans="2:8" x14ac:dyDescent="0.25">
      <c r="B50" s="236" t="s">
        <v>143</v>
      </c>
      <c r="C50" s="266"/>
      <c r="D50" s="266"/>
      <c r="E50" s="266"/>
      <c r="F50" s="267"/>
      <c r="G50" s="135">
        <v>37900</v>
      </c>
      <c r="H50" s="149" t="s">
        <v>131</v>
      </c>
    </row>
    <row r="51" spans="2:8" x14ac:dyDescent="0.25">
      <c r="B51" s="220" t="s">
        <v>130</v>
      </c>
      <c r="C51" s="225"/>
      <c r="D51" s="225"/>
      <c r="E51" s="225"/>
      <c r="F51" s="226"/>
      <c r="G51" s="132">
        <f>Ressources!P46</f>
        <v>87500</v>
      </c>
      <c r="H51" s="151" t="s">
        <v>131</v>
      </c>
    </row>
    <row r="52" spans="2:8" x14ac:dyDescent="0.25">
      <c r="B52" s="220" t="s">
        <v>236</v>
      </c>
      <c r="C52" s="225"/>
      <c r="D52" s="225"/>
      <c r="E52" s="225"/>
      <c r="F52" s="226"/>
      <c r="G52" s="132">
        <f>TRUNC(G27+H27+I27+J27+K27+L27)*250</f>
        <v>0</v>
      </c>
      <c r="H52" s="151" t="s">
        <v>131</v>
      </c>
    </row>
    <row r="53" spans="2:8" x14ac:dyDescent="0.25">
      <c r="B53" s="220" t="s">
        <v>179</v>
      </c>
      <c r="C53" s="225"/>
      <c r="D53" s="225"/>
      <c r="E53" s="225"/>
      <c r="F53" s="226"/>
      <c r="G53" s="121">
        <v>55</v>
      </c>
      <c r="H53" s="150" t="s">
        <v>191</v>
      </c>
    </row>
    <row r="54" spans="2:8" x14ac:dyDescent="0.25">
      <c r="B54" s="220" t="s">
        <v>132</v>
      </c>
      <c r="C54" s="225"/>
      <c r="D54" s="225"/>
      <c r="E54" s="225"/>
      <c r="F54" s="226"/>
      <c r="G54" s="155">
        <f>Ressources!P49</f>
        <v>60000</v>
      </c>
      <c r="H54" s="151" t="s">
        <v>131</v>
      </c>
    </row>
    <row r="55" spans="2:8" x14ac:dyDescent="0.25">
      <c r="B55" s="220" t="s">
        <v>192</v>
      </c>
      <c r="C55" s="225"/>
      <c r="D55" s="225"/>
      <c r="E55" s="225"/>
      <c r="F55" s="226"/>
      <c r="G55" s="132">
        <f>Ressources!P50</f>
        <v>60000</v>
      </c>
      <c r="H55" s="151" t="s">
        <v>131</v>
      </c>
    </row>
    <row r="56" spans="2:8" x14ac:dyDescent="0.25">
      <c r="B56" s="220" t="s">
        <v>133</v>
      </c>
      <c r="C56" s="225"/>
      <c r="D56" s="225"/>
      <c r="E56" s="225"/>
      <c r="F56" s="226"/>
      <c r="G56" s="156">
        <f>Ressources!P51</f>
        <v>0</v>
      </c>
      <c r="H56" s="151" t="s">
        <v>131</v>
      </c>
    </row>
    <row r="57" spans="2:8" x14ac:dyDescent="0.25">
      <c r="B57" s="220" t="s">
        <v>134</v>
      </c>
      <c r="C57" s="225"/>
      <c r="D57" s="225"/>
      <c r="E57" s="225"/>
      <c r="F57" s="226"/>
      <c r="G57" s="156">
        <f>Ressources!P52</f>
        <v>87500</v>
      </c>
      <c r="H57" s="152" t="s">
        <v>131</v>
      </c>
    </row>
    <row r="58" spans="2:8" x14ac:dyDescent="0.25">
      <c r="B58" s="236" t="s">
        <v>144</v>
      </c>
      <c r="C58" s="266"/>
      <c r="D58" s="266"/>
      <c r="E58" s="266"/>
      <c r="F58" s="267"/>
      <c r="G58" s="138">
        <f>Ressources!P53</f>
        <v>125400</v>
      </c>
      <c r="H58" s="153" t="s">
        <v>131</v>
      </c>
    </row>
    <row r="59" spans="2:8" x14ac:dyDescent="0.25">
      <c r="B59" s="220" t="s">
        <v>241</v>
      </c>
      <c r="C59" s="225"/>
      <c r="D59" s="225"/>
      <c r="E59" s="225"/>
      <c r="F59" s="226"/>
      <c r="G59" s="136">
        <v>0</v>
      </c>
      <c r="H59" s="150" t="s">
        <v>131</v>
      </c>
    </row>
    <row r="60" spans="2:8" x14ac:dyDescent="0.25">
      <c r="B60" s="220" t="s">
        <v>240</v>
      </c>
      <c r="C60" s="225"/>
      <c r="D60" s="225"/>
      <c r="E60" s="225"/>
      <c r="F60" s="226"/>
      <c r="G60" s="136">
        <v>0</v>
      </c>
      <c r="H60" s="150" t="s">
        <v>131</v>
      </c>
    </row>
    <row r="61" spans="2:8" x14ac:dyDescent="0.25">
      <c r="B61" s="220" t="s">
        <v>239</v>
      </c>
      <c r="C61" s="225"/>
      <c r="D61" s="225"/>
      <c r="E61" s="225"/>
      <c r="F61" s="226"/>
      <c r="G61" s="136">
        <v>0</v>
      </c>
      <c r="H61" s="150" t="s">
        <v>131</v>
      </c>
    </row>
    <row r="62" spans="2:8" x14ac:dyDescent="0.25">
      <c r="B62" s="220" t="s">
        <v>238</v>
      </c>
      <c r="C62" s="225"/>
      <c r="D62" s="225"/>
      <c r="E62" s="225"/>
      <c r="F62" s="226"/>
      <c r="G62" s="137">
        <v>0</v>
      </c>
      <c r="H62" s="150" t="s">
        <v>131</v>
      </c>
    </row>
    <row r="63" spans="2:8" x14ac:dyDescent="0.25">
      <c r="B63" s="220" t="s">
        <v>229</v>
      </c>
      <c r="C63" s="225"/>
      <c r="D63" s="225"/>
      <c r="E63" s="225"/>
      <c r="F63" s="226"/>
      <c r="G63" s="137">
        <v>0</v>
      </c>
      <c r="H63" s="150" t="s">
        <v>131</v>
      </c>
    </row>
    <row r="64" spans="2:8" x14ac:dyDescent="0.25">
      <c r="B64" s="220" t="s">
        <v>219</v>
      </c>
      <c r="C64" s="225"/>
      <c r="D64" s="225"/>
      <c r="E64" s="225"/>
      <c r="F64" s="226"/>
      <c r="G64" s="137">
        <v>87000</v>
      </c>
      <c r="H64" s="150" t="s">
        <v>131</v>
      </c>
    </row>
    <row r="65" spans="2:13" x14ac:dyDescent="0.25">
      <c r="B65" s="220" t="s">
        <v>220</v>
      </c>
      <c r="C65" s="225"/>
      <c r="D65" s="225"/>
      <c r="E65" s="225"/>
      <c r="F65" s="226"/>
      <c r="G65" s="137">
        <v>0</v>
      </c>
      <c r="H65" s="150" t="s">
        <v>131</v>
      </c>
    </row>
    <row r="66" spans="2:13" x14ac:dyDescent="0.25">
      <c r="B66" s="236" t="s">
        <v>264</v>
      </c>
      <c r="C66" s="266"/>
      <c r="D66" s="266"/>
      <c r="E66" s="266"/>
      <c r="F66" s="267"/>
      <c r="G66" s="138">
        <f>Ressources!P61</f>
        <v>38400</v>
      </c>
      <c r="H66" s="153" t="s">
        <v>131</v>
      </c>
    </row>
    <row r="78" spans="2:13" ht="3.75" customHeight="1" x14ac:dyDescent="0.25">
      <c r="F78" t="s">
        <v>98</v>
      </c>
      <c r="G78" t="s">
        <v>311</v>
      </c>
      <c r="M78" t="s">
        <v>312</v>
      </c>
    </row>
    <row r="79" spans="2:13" ht="3.75" customHeight="1" x14ac:dyDescent="0.25">
      <c r="F79" s="111">
        <f>SMALL(G79:M79,1)</f>
        <v>0</v>
      </c>
      <c r="G79" s="111">
        <f t="shared" ref="G79:K79" si="1">TRUNC((G23/3),0)</f>
        <v>21</v>
      </c>
      <c r="H79" s="111">
        <f t="shared" si="1"/>
        <v>9</v>
      </c>
      <c r="I79" s="111">
        <f>TRUNC((I23/3),0)</f>
        <v>8</v>
      </c>
      <c r="J79" s="111">
        <f t="shared" si="1"/>
        <v>0</v>
      </c>
      <c r="K79" s="111">
        <f t="shared" si="1"/>
        <v>0</v>
      </c>
      <c r="L79" s="111">
        <f>TRUNC((L23/3),0)</f>
        <v>4</v>
      </c>
      <c r="M79" s="111">
        <f>I11</f>
        <v>9</v>
      </c>
    </row>
  </sheetData>
  <mergeCells count="50">
    <mergeCell ref="B65:F65"/>
    <mergeCell ref="B66:F66"/>
    <mergeCell ref="B59:F59"/>
    <mergeCell ref="B60:F60"/>
    <mergeCell ref="B61:F61"/>
    <mergeCell ref="B62:F62"/>
    <mergeCell ref="B63:F63"/>
    <mergeCell ref="B64:F64"/>
    <mergeCell ref="B58:F58"/>
    <mergeCell ref="B45:F45"/>
    <mergeCell ref="B46:F46"/>
    <mergeCell ref="B47:F47"/>
    <mergeCell ref="B50:F50"/>
    <mergeCell ref="B51:F51"/>
    <mergeCell ref="B52:F52"/>
    <mergeCell ref="B53:F53"/>
    <mergeCell ref="B54:F54"/>
    <mergeCell ref="B55:F55"/>
    <mergeCell ref="B56:F56"/>
    <mergeCell ref="B57:F57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0:F20"/>
    <mergeCell ref="B21:F21"/>
    <mergeCell ref="B22:F22"/>
    <mergeCell ref="G22:J22"/>
    <mergeCell ref="B23:F23"/>
    <mergeCell ref="B24:F24"/>
    <mergeCell ref="B25:F25"/>
    <mergeCell ref="B26:F26"/>
    <mergeCell ref="B27:F27"/>
    <mergeCell ref="B28:F28"/>
    <mergeCell ref="B31:F31"/>
    <mergeCell ref="B19:F19"/>
    <mergeCell ref="D10:G10"/>
    <mergeCell ref="D11:F11"/>
    <mergeCell ref="G16:I16"/>
    <mergeCell ref="K16:L16"/>
    <mergeCell ref="B18:F18"/>
  </mergeCells>
  <conditionalFormatting sqref="G66">
    <cfRule type="cellIs" dxfId="53" priority="1" operator="lessThan">
      <formula>0</formula>
    </cfRule>
  </conditionalFormatting>
  <conditionalFormatting sqref="G46">
    <cfRule type="cellIs" dxfId="52" priority="4" operator="equal">
      <formula>0</formula>
    </cfRule>
  </conditionalFormatting>
  <conditionalFormatting sqref="G39">
    <cfRule type="cellIs" dxfId="51" priority="3" operator="lessThan">
      <formula>0</formula>
    </cfRule>
  </conditionalFormatting>
  <conditionalFormatting sqref="G57">
    <cfRule type="cellIs" dxfId="50" priority="2" operator="equal">
      <formula>0</formula>
    </cfRule>
  </conditionalFormatting>
  <conditionalFormatting sqref="F13">
    <cfRule type="containsText" dxfId="49" priority="6" operator="containsText" text="Erreur !">
      <formula>NOT(ISERROR(SEARCH("Erreur !",F13)))</formula>
    </cfRule>
  </conditionalFormatting>
  <conditionalFormatting sqref="I11">
    <cfRule type="containsText" dxfId="48" priority="5" operator="containsText" text="Province ?">
      <formula>NOT(ISERROR(SEARCH("Province ?",I11)))</formula>
    </cfRule>
  </conditionalFormatting>
  <dataValidations count="6">
    <dataValidation type="whole" errorStyle="warning" operator="greaterThanOrEqual" allowBlank="1" showInputMessage="1" showErrorMessage="1" errorTitle="Nombre entier positif uniquement" error="Les mouvements d'argent doivent être indiqués en nombres positifs (soustraction automatique sur le solde)." sqref="G32:G38 G59:G65">
      <formula1>0</formula1>
    </dataValidation>
    <dataValidation type="whole" operator="greaterThanOrEqual" allowBlank="1" showInputMessage="1" showErrorMessage="1" errorTitle="Nombre entier uniquement" error="La trésorerie ne peut avoir qu'une valeur entière supérieure ou égale à 0." sqref="G31 G39:G41 G50 G66">
      <formula1>0</formula1>
    </dataValidation>
    <dataValidation type="whole" operator="greaterThanOrEqual" allowBlank="1" showInputMessage="1" showErrorMessage="1" errorTitle="Chiffre entiers uniquement" error="Les bataillons sont toujours décomptés en nombre entier positifs dans cette version du Wargame." sqref="G42 G53">
      <formula1>0</formula1>
    </dataValidation>
    <dataValidation errorStyle="information" allowBlank="1" showInputMessage="1" showErrorMessage="1" sqref="D11:F11"/>
    <dataValidation type="whole" errorStyle="warning" allowBlank="1" showInputMessage="1" showErrorMessage="1" errorTitle="Nombre non valide" error="Veuillez mettre un nombre entier compris entre 0 et le maximum de villes que vous pouvez alimenter en ressources." sqref="I12">
      <formula1>0</formula1>
      <formula2>I13</formula2>
    </dataValidation>
    <dataValidation type="whole" errorStyle="warning" operator="greaterThanOrEqual" allowBlank="1" showInputMessage="1" showErrorMessage="1" errorTitle="Nombre entier uniquement" error="Les stocks et variations de marchandises s'expriment uniquement en nombre entiers supérieurs ou égal à 0. Merci." sqref="K22 G18:L20 H21:L21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errorStyle="information" allowBlank="1" showInputMessage="1" showErrorMessage="1" errorTitle="Trop ou pas assez de nourriture" error="• Vous ne possèdez pas cette quantité de nourriture._x000a_• Ou vos soldats sont déjà intégralement payés avec autant de nourriture. Inutile de leur donner plus que le maximum demandé.">
          <x14:formula1>
            <xm:f>0</xm:f>
          </x14:formula1>
          <x14:formula2>
            <xm:f>Ressources!P164</xm:f>
          </x14:formula2>
          <xm:sqref>G25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9"/>
  <sheetViews>
    <sheetView topLeftCell="A10" workbookViewId="0">
      <selection activeCell="G25" sqref="G25"/>
    </sheetView>
  </sheetViews>
  <sheetFormatPr baseColWidth="10" defaultRowHeight="15" x14ac:dyDescent="0.25"/>
  <cols>
    <col min="1" max="1" width="1.42578125" customWidth="1"/>
    <col min="5" max="5" width="2.85546875" customWidth="1"/>
    <col min="6" max="6" width="8.5703125" customWidth="1"/>
    <col min="7" max="12" width="10.7109375" customWidth="1"/>
  </cols>
  <sheetData>
    <row r="1" spans="2:12" ht="18.75" x14ac:dyDescent="0.3">
      <c r="B1" s="211" t="s">
        <v>285</v>
      </c>
    </row>
    <row r="2" spans="2:12" x14ac:dyDescent="0.25">
      <c r="B2" s="186"/>
    </row>
    <row r="3" spans="2:12" x14ac:dyDescent="0.25">
      <c r="B3" t="s">
        <v>275</v>
      </c>
    </row>
    <row r="4" spans="2:12" x14ac:dyDescent="0.25">
      <c r="B4" t="s">
        <v>301</v>
      </c>
    </row>
    <row r="5" spans="2:12" x14ac:dyDescent="0.25">
      <c r="B5" t="s">
        <v>273</v>
      </c>
    </row>
    <row r="6" spans="2:12" x14ac:dyDescent="0.25">
      <c r="B6" t="s">
        <v>274</v>
      </c>
    </row>
    <row r="7" spans="2:12" x14ac:dyDescent="0.25">
      <c r="B7" t="s">
        <v>302</v>
      </c>
    </row>
    <row r="9" spans="2:12" ht="15.75" x14ac:dyDescent="0.25">
      <c r="B9" s="125" t="s">
        <v>202</v>
      </c>
    </row>
    <row r="10" spans="2:12" x14ac:dyDescent="0.25">
      <c r="B10" s="8" t="s">
        <v>92</v>
      </c>
      <c r="D10" s="283" t="s">
        <v>29</v>
      </c>
      <c r="E10" s="284"/>
      <c r="F10" s="284"/>
      <c r="G10" s="285"/>
      <c r="J10" s="126" t="s">
        <v>277</v>
      </c>
    </row>
    <row r="11" spans="2:12" x14ac:dyDescent="0.25">
      <c r="B11" t="s">
        <v>93</v>
      </c>
      <c r="D11" s="274" t="str">
        <f>Ressources!G7</f>
        <v>4E 217</v>
      </c>
      <c r="E11" s="275"/>
      <c r="F11" s="276"/>
      <c r="H11" s="142" t="s">
        <v>255</v>
      </c>
      <c r="I11" s="83">
        <f>Ressources!H173</f>
        <v>7</v>
      </c>
      <c r="J11" s="12"/>
    </row>
    <row r="12" spans="2:12" x14ac:dyDescent="0.25">
      <c r="H12" s="154" t="s">
        <v>257</v>
      </c>
      <c r="I12" s="82">
        <v>4</v>
      </c>
      <c r="J12" s="126" t="s">
        <v>266</v>
      </c>
      <c r="K12" s="8"/>
    </row>
    <row r="13" spans="2:12" x14ac:dyDescent="0.25">
      <c r="D13" s="142" t="s">
        <v>182</v>
      </c>
      <c r="E13" s="130" t="s">
        <v>181</v>
      </c>
      <c r="F13" s="131">
        <f>IF(I11&lt;I12,"Erreur !",I12*2.5/I11)</f>
        <v>1.4285714285714286</v>
      </c>
      <c r="H13" s="142" t="s">
        <v>180</v>
      </c>
      <c r="I13" s="117">
        <f>F79</f>
        <v>7</v>
      </c>
      <c r="J13" t="s">
        <v>256</v>
      </c>
    </row>
    <row r="15" spans="2:12" ht="15.75" x14ac:dyDescent="0.25">
      <c r="B15" s="125" t="s">
        <v>318</v>
      </c>
    </row>
    <row r="16" spans="2:12" x14ac:dyDescent="0.25">
      <c r="G16" s="220" t="s">
        <v>233</v>
      </c>
      <c r="H16" s="225"/>
      <c r="I16" s="226"/>
      <c r="J16" s="147">
        <f>Ressources!O11</f>
        <v>250</v>
      </c>
      <c r="K16" s="220" t="s">
        <v>234</v>
      </c>
      <c r="L16" s="226"/>
    </row>
    <row r="17" spans="2:12" x14ac:dyDescent="0.25">
      <c r="B17" s="13"/>
      <c r="G17" s="180" t="s">
        <v>7</v>
      </c>
      <c r="H17" s="180" t="s">
        <v>8</v>
      </c>
      <c r="I17" s="140" t="s">
        <v>9</v>
      </c>
      <c r="J17" s="140" t="s">
        <v>169</v>
      </c>
      <c r="K17" s="140" t="s">
        <v>170</v>
      </c>
      <c r="L17" s="140" t="s">
        <v>84</v>
      </c>
    </row>
    <row r="18" spans="2:12" x14ac:dyDescent="0.25">
      <c r="B18" s="235" t="s">
        <v>210</v>
      </c>
      <c r="C18" s="235"/>
      <c r="D18" s="235"/>
      <c r="E18" s="235"/>
      <c r="F18" s="235"/>
      <c r="G18" s="177">
        <v>4</v>
      </c>
      <c r="H18" s="177">
        <v>4</v>
      </c>
      <c r="I18" s="128">
        <v>4</v>
      </c>
      <c r="J18" s="128">
        <v>4</v>
      </c>
      <c r="K18" s="128">
        <v>4</v>
      </c>
      <c r="L18" s="128">
        <v>4</v>
      </c>
    </row>
    <row r="19" spans="2:12" x14ac:dyDescent="0.25">
      <c r="B19" s="219" t="s">
        <v>208</v>
      </c>
      <c r="C19" s="219"/>
      <c r="D19" s="219"/>
      <c r="E19" s="219"/>
      <c r="F19" s="219"/>
      <c r="G19" s="184">
        <v>104</v>
      </c>
      <c r="H19" s="184">
        <v>104</v>
      </c>
      <c r="I19" s="107">
        <v>104</v>
      </c>
      <c r="J19" s="107">
        <v>104</v>
      </c>
      <c r="K19" s="107">
        <v>204</v>
      </c>
      <c r="L19" s="107">
        <v>104</v>
      </c>
    </row>
    <row r="20" spans="2:12" x14ac:dyDescent="0.25">
      <c r="B20" s="219" t="s">
        <v>209</v>
      </c>
      <c r="C20" s="219"/>
      <c r="D20" s="219"/>
      <c r="E20" s="219"/>
      <c r="F20" s="219"/>
      <c r="G20" s="181">
        <v>14</v>
      </c>
      <c r="H20" s="181">
        <v>14</v>
      </c>
      <c r="I20" s="108">
        <v>14</v>
      </c>
      <c r="J20" s="108">
        <v>14</v>
      </c>
      <c r="K20" s="108">
        <v>14</v>
      </c>
      <c r="L20" s="108">
        <v>14</v>
      </c>
    </row>
    <row r="21" spans="2:12" x14ac:dyDescent="0.25">
      <c r="B21" s="219" t="s">
        <v>190</v>
      </c>
      <c r="C21" s="219"/>
      <c r="D21" s="219"/>
      <c r="E21" s="219"/>
      <c r="F21" s="219"/>
      <c r="G21" s="182"/>
      <c r="H21" s="181">
        <v>24</v>
      </c>
      <c r="I21" s="108">
        <v>24</v>
      </c>
      <c r="J21" s="108">
        <v>24</v>
      </c>
      <c r="K21" s="108">
        <v>24</v>
      </c>
      <c r="L21" s="108">
        <v>24</v>
      </c>
    </row>
    <row r="22" spans="2:12" x14ac:dyDescent="0.25">
      <c r="B22" s="219" t="s">
        <v>194</v>
      </c>
      <c r="C22" s="219"/>
      <c r="D22" s="219"/>
      <c r="E22" s="219"/>
      <c r="F22" s="219"/>
      <c r="G22" s="220"/>
      <c r="H22" s="225"/>
      <c r="I22" s="225"/>
      <c r="J22" s="226"/>
      <c r="K22" s="108">
        <v>34</v>
      </c>
      <c r="L22" s="96"/>
    </row>
    <row r="23" spans="2:12" x14ac:dyDescent="0.25">
      <c r="B23" s="219" t="s">
        <v>193</v>
      </c>
      <c r="C23" s="219"/>
      <c r="D23" s="219"/>
      <c r="E23" s="219"/>
      <c r="F23" s="219"/>
      <c r="G23" s="200">
        <f>G18+G19-G20</f>
        <v>94</v>
      </c>
      <c r="H23" s="200">
        <f>H18+H19-H20-H21</f>
        <v>70</v>
      </c>
      <c r="I23" s="111">
        <f>I18+I19-I20-I21</f>
        <v>70</v>
      </c>
      <c r="J23" s="111">
        <f>J18+J19-J20-J21</f>
        <v>70</v>
      </c>
      <c r="K23" s="111">
        <f>K18+K19-K20-K21-K22</f>
        <v>136</v>
      </c>
      <c r="L23" s="111">
        <f>L18+L19-L20-L21-L22</f>
        <v>70</v>
      </c>
    </row>
    <row r="24" spans="2:12" x14ac:dyDescent="0.25">
      <c r="B24" s="219" t="s">
        <v>218</v>
      </c>
      <c r="C24" s="219"/>
      <c r="D24" s="219"/>
      <c r="E24" s="219"/>
      <c r="F24" s="219"/>
      <c r="G24" s="198">
        <f>3*$I12</f>
        <v>12</v>
      </c>
      <c r="H24" s="198">
        <f t="shared" ref="H24:L24" si="0">3*$I12</f>
        <v>12</v>
      </c>
      <c r="I24" s="198">
        <f t="shared" si="0"/>
        <v>12</v>
      </c>
      <c r="J24" s="198">
        <f t="shared" si="0"/>
        <v>12</v>
      </c>
      <c r="K24" s="198">
        <f t="shared" si="0"/>
        <v>12</v>
      </c>
      <c r="L24" s="110">
        <f t="shared" si="0"/>
        <v>12</v>
      </c>
    </row>
    <row r="25" spans="2:12" x14ac:dyDescent="0.25">
      <c r="B25" s="219" t="s">
        <v>128</v>
      </c>
      <c r="C25" s="219"/>
      <c r="D25" s="219"/>
      <c r="E25" s="219"/>
      <c r="F25" s="219"/>
      <c r="G25" s="181">
        <v>60</v>
      </c>
      <c r="H25" s="213" t="s">
        <v>196</v>
      </c>
      <c r="I25" s="118">
        <f>Ressources!M20</f>
        <v>60</v>
      </c>
      <c r="J25" s="115" t="s">
        <v>135</v>
      </c>
      <c r="K25" s="119"/>
      <c r="L25" s="85"/>
    </row>
    <row r="26" spans="2:12" x14ac:dyDescent="0.25">
      <c r="B26" s="219" t="s">
        <v>129</v>
      </c>
      <c r="C26" s="219"/>
      <c r="D26" s="219"/>
      <c r="E26" s="219"/>
      <c r="F26" s="219"/>
      <c r="G26" s="214">
        <f>Ressources!J21</f>
        <v>64</v>
      </c>
      <c r="H26" s="214">
        <f>Ressources!L21</f>
        <v>28</v>
      </c>
      <c r="I26" s="109">
        <f>Ressources!N21</f>
        <v>32</v>
      </c>
      <c r="J26" s="109">
        <f>Ressources!O21</f>
        <v>0</v>
      </c>
      <c r="K26" s="109">
        <f>Ressources!P21</f>
        <v>24</v>
      </c>
      <c r="L26" s="109">
        <f>Ressources!Q21</f>
        <v>12</v>
      </c>
    </row>
    <row r="27" spans="2:12" x14ac:dyDescent="0.25">
      <c r="B27" s="219" t="s">
        <v>235</v>
      </c>
      <c r="C27" s="219"/>
      <c r="D27" s="219"/>
      <c r="E27" s="219"/>
      <c r="F27" s="219"/>
      <c r="G27" s="198">
        <f>IF(G23-G24+G26-G25&gt;$J16,G23-G24+G26-G25-$J16,0)</f>
        <v>0</v>
      </c>
      <c r="H27" s="198">
        <f>IF(H23-H24+H26&gt;$J16,H23-H24+H26-$J16,0)</f>
        <v>0</v>
      </c>
      <c r="I27" s="110">
        <f>IF(I23-I24+I26&gt;$J16,I23-I24+I26-$J16,0)</f>
        <v>0</v>
      </c>
      <c r="J27" s="110">
        <f>IF(J23-J24+J26&gt;$J16,J23-J24+J26-$J16,0)</f>
        <v>0</v>
      </c>
      <c r="K27" s="110">
        <f>IF(K23-K24+K26&gt;$J16,K23-K24+K26-$J16,0)</f>
        <v>0</v>
      </c>
      <c r="L27" s="110">
        <f>IF(L23-L24+L26&gt;$J16,L23-L24+L26-$J16,0)</f>
        <v>0</v>
      </c>
    </row>
    <row r="28" spans="2:12" x14ac:dyDescent="0.25">
      <c r="B28" s="235" t="s">
        <v>217</v>
      </c>
      <c r="C28" s="235"/>
      <c r="D28" s="235"/>
      <c r="E28" s="235"/>
      <c r="F28" s="235"/>
      <c r="G28" s="199">
        <f>G23-G24+G26-G25-G27</f>
        <v>86</v>
      </c>
      <c r="H28" s="199">
        <f>H23-H24+H26-H27</f>
        <v>86</v>
      </c>
      <c r="I28" s="129">
        <f>I23-I24+I26-I27</f>
        <v>90</v>
      </c>
      <c r="J28" s="129">
        <f>J23-J24+J26-J27</f>
        <v>58</v>
      </c>
      <c r="K28" s="129">
        <f>K23-K24+K26-K27</f>
        <v>148</v>
      </c>
      <c r="L28" s="129">
        <f>L23-L24+L26-L27</f>
        <v>70</v>
      </c>
    </row>
    <row r="30" spans="2:12" ht="15.75" x14ac:dyDescent="0.25">
      <c r="B30" s="146" t="str">
        <f>Ressources!C25</f>
        <v>Historique des finances du 1er Primétoile de l'année précédente au 1er Primétoile de l'année 4E 217 :</v>
      </c>
    </row>
    <row r="31" spans="2:12" x14ac:dyDescent="0.25">
      <c r="B31" s="236" t="s">
        <v>232</v>
      </c>
      <c r="C31" s="266"/>
      <c r="D31" s="266"/>
      <c r="E31" s="266"/>
      <c r="F31" s="267"/>
      <c r="G31" s="135">
        <v>204000</v>
      </c>
      <c r="H31" s="149" t="s">
        <v>131</v>
      </c>
    </row>
    <row r="32" spans="2:12" x14ac:dyDescent="0.25">
      <c r="B32" s="220" t="s">
        <v>241</v>
      </c>
      <c r="C32" s="225"/>
      <c r="D32" s="225"/>
      <c r="E32" s="225"/>
      <c r="F32" s="226"/>
      <c r="G32" s="136">
        <v>0</v>
      </c>
      <c r="H32" s="150" t="s">
        <v>131</v>
      </c>
    </row>
    <row r="33" spans="2:8" x14ac:dyDescent="0.25">
      <c r="B33" s="220" t="s">
        <v>240</v>
      </c>
      <c r="C33" s="225"/>
      <c r="D33" s="225"/>
      <c r="E33" s="225"/>
      <c r="F33" s="226"/>
      <c r="G33" s="136">
        <v>0</v>
      </c>
      <c r="H33" s="150" t="s">
        <v>131</v>
      </c>
    </row>
    <row r="34" spans="2:8" x14ac:dyDescent="0.25">
      <c r="B34" s="220" t="s">
        <v>239</v>
      </c>
      <c r="C34" s="225"/>
      <c r="D34" s="225"/>
      <c r="E34" s="225"/>
      <c r="F34" s="226"/>
      <c r="G34" s="136">
        <v>0</v>
      </c>
      <c r="H34" s="150" t="s">
        <v>131</v>
      </c>
    </row>
    <row r="35" spans="2:8" x14ac:dyDescent="0.25">
      <c r="B35" s="220" t="s">
        <v>238</v>
      </c>
      <c r="C35" s="225"/>
      <c r="D35" s="225"/>
      <c r="E35" s="225"/>
      <c r="F35" s="226"/>
      <c r="G35" s="137">
        <v>0</v>
      </c>
      <c r="H35" s="150" t="s">
        <v>131</v>
      </c>
    </row>
    <row r="36" spans="2:8" x14ac:dyDescent="0.25">
      <c r="B36" s="220" t="s">
        <v>229</v>
      </c>
      <c r="C36" s="225"/>
      <c r="D36" s="225"/>
      <c r="E36" s="225"/>
      <c r="F36" s="226"/>
      <c r="G36" s="137">
        <v>0</v>
      </c>
      <c r="H36" s="150" t="s">
        <v>131</v>
      </c>
    </row>
    <row r="37" spans="2:8" x14ac:dyDescent="0.25">
      <c r="B37" s="220" t="s">
        <v>219</v>
      </c>
      <c r="C37" s="225"/>
      <c r="D37" s="225"/>
      <c r="E37" s="225"/>
      <c r="F37" s="226"/>
      <c r="G37" s="137">
        <v>160000</v>
      </c>
      <c r="H37" s="150" t="s">
        <v>131</v>
      </c>
    </row>
    <row r="38" spans="2:8" x14ac:dyDescent="0.25">
      <c r="B38" s="220" t="s">
        <v>220</v>
      </c>
      <c r="C38" s="225"/>
      <c r="D38" s="225"/>
      <c r="E38" s="225"/>
      <c r="F38" s="226"/>
      <c r="G38" s="137">
        <v>0</v>
      </c>
      <c r="H38" s="150" t="s">
        <v>131</v>
      </c>
    </row>
    <row r="39" spans="2:8" x14ac:dyDescent="0.25">
      <c r="B39" s="236" t="s">
        <v>143</v>
      </c>
      <c r="C39" s="266"/>
      <c r="D39" s="266"/>
      <c r="E39" s="266"/>
      <c r="F39" s="267"/>
      <c r="G39" s="138">
        <f>Ressources!P34</f>
        <v>48750</v>
      </c>
      <c r="H39" s="153" t="s">
        <v>131</v>
      </c>
    </row>
    <row r="40" spans="2:8" x14ac:dyDescent="0.25">
      <c r="B40" s="220" t="s">
        <v>130</v>
      </c>
      <c r="C40" s="225"/>
      <c r="D40" s="225"/>
      <c r="E40" s="225"/>
      <c r="F40" s="226"/>
      <c r="G40" s="132">
        <f>Ressources!P35</f>
        <v>87500</v>
      </c>
      <c r="H40" s="151" t="s">
        <v>131</v>
      </c>
    </row>
    <row r="41" spans="2:8" x14ac:dyDescent="0.25">
      <c r="B41" s="220" t="s">
        <v>236</v>
      </c>
      <c r="C41" s="225"/>
      <c r="D41" s="225"/>
      <c r="E41" s="225"/>
      <c r="F41" s="226"/>
      <c r="G41" s="132">
        <f>TRUNC(G27+H27+I27+J27+K27+L27)*250</f>
        <v>0</v>
      </c>
      <c r="H41" s="151" t="s">
        <v>131</v>
      </c>
    </row>
    <row r="42" spans="2:8" x14ac:dyDescent="0.25">
      <c r="B42" s="220" t="s">
        <v>179</v>
      </c>
      <c r="C42" s="225"/>
      <c r="D42" s="225"/>
      <c r="E42" s="225"/>
      <c r="F42" s="226"/>
      <c r="G42" s="121">
        <v>141</v>
      </c>
      <c r="H42" s="150" t="s">
        <v>191</v>
      </c>
    </row>
    <row r="43" spans="2:8" x14ac:dyDescent="0.25">
      <c r="B43" s="220" t="s">
        <v>132</v>
      </c>
      <c r="C43" s="225"/>
      <c r="D43" s="225"/>
      <c r="E43" s="225"/>
      <c r="F43" s="226"/>
      <c r="G43" s="155">
        <f>G42*200</f>
        <v>28200</v>
      </c>
      <c r="H43" s="151" t="s">
        <v>131</v>
      </c>
    </row>
    <row r="44" spans="2:8" x14ac:dyDescent="0.25">
      <c r="B44" s="220" t="s">
        <v>192</v>
      </c>
      <c r="C44" s="225"/>
      <c r="D44" s="225"/>
      <c r="E44" s="225"/>
      <c r="F44" s="226"/>
      <c r="G44" s="132">
        <f>Ressources!P39</f>
        <v>60000</v>
      </c>
      <c r="H44" s="151" t="s">
        <v>131</v>
      </c>
    </row>
    <row r="45" spans="2:8" x14ac:dyDescent="0.25">
      <c r="B45" s="220" t="s">
        <v>133</v>
      </c>
      <c r="C45" s="225"/>
      <c r="D45" s="225"/>
      <c r="E45" s="225"/>
      <c r="F45" s="226"/>
      <c r="G45" s="156">
        <f>Ressources!P40</f>
        <v>0</v>
      </c>
      <c r="H45" s="151" t="s">
        <v>131</v>
      </c>
    </row>
    <row r="46" spans="2:8" x14ac:dyDescent="0.25">
      <c r="B46" s="220" t="s">
        <v>134</v>
      </c>
      <c r="C46" s="225"/>
      <c r="D46" s="225"/>
      <c r="E46" s="225"/>
      <c r="F46" s="226"/>
      <c r="G46" s="156">
        <f>Ressources!P41</f>
        <v>87500</v>
      </c>
      <c r="H46" s="152" t="s">
        <v>131</v>
      </c>
    </row>
    <row r="47" spans="2:8" x14ac:dyDescent="0.25">
      <c r="B47" s="236" t="s">
        <v>144</v>
      </c>
      <c r="C47" s="266"/>
      <c r="D47" s="266"/>
      <c r="E47" s="266"/>
      <c r="F47" s="267"/>
      <c r="G47" s="138">
        <f>Ressources!P42</f>
        <v>136250</v>
      </c>
      <c r="H47" s="153" t="s">
        <v>131</v>
      </c>
    </row>
    <row r="48" spans="2:8" x14ac:dyDescent="0.25">
      <c r="B48" s="139"/>
      <c r="C48" s="139"/>
      <c r="D48" s="139"/>
      <c r="E48" s="139"/>
      <c r="F48" s="139"/>
    </row>
    <row r="49" spans="2:8" ht="15.75" x14ac:dyDescent="0.25">
      <c r="B49" s="146" t="str">
        <f>Ressources!I44</f>
        <v>Historique des finances de l'année 4E 217 :</v>
      </c>
    </row>
    <row r="50" spans="2:8" x14ac:dyDescent="0.25">
      <c r="B50" s="236" t="s">
        <v>143</v>
      </c>
      <c r="C50" s="266"/>
      <c r="D50" s="266"/>
      <c r="E50" s="266"/>
      <c r="F50" s="267"/>
      <c r="G50" s="135">
        <v>37900</v>
      </c>
      <c r="H50" s="149" t="s">
        <v>131</v>
      </c>
    </row>
    <row r="51" spans="2:8" x14ac:dyDescent="0.25">
      <c r="B51" s="220" t="s">
        <v>130</v>
      </c>
      <c r="C51" s="225"/>
      <c r="D51" s="225"/>
      <c r="E51" s="225"/>
      <c r="F51" s="226"/>
      <c r="G51" s="132">
        <f>Ressources!P46</f>
        <v>87500</v>
      </c>
      <c r="H51" s="151" t="s">
        <v>131</v>
      </c>
    </row>
    <row r="52" spans="2:8" x14ac:dyDescent="0.25">
      <c r="B52" s="220" t="s">
        <v>236</v>
      </c>
      <c r="C52" s="225"/>
      <c r="D52" s="225"/>
      <c r="E52" s="225"/>
      <c r="F52" s="226"/>
      <c r="G52" s="132">
        <f>TRUNC(G27+H27+I27+J27+K27+L27)*250</f>
        <v>0</v>
      </c>
      <c r="H52" s="151" t="s">
        <v>131</v>
      </c>
    </row>
    <row r="53" spans="2:8" x14ac:dyDescent="0.25">
      <c r="B53" s="220" t="s">
        <v>179</v>
      </c>
      <c r="C53" s="225"/>
      <c r="D53" s="225"/>
      <c r="E53" s="225"/>
      <c r="F53" s="226"/>
      <c r="G53" s="121">
        <v>55</v>
      </c>
      <c r="H53" s="150" t="s">
        <v>191</v>
      </c>
    </row>
    <row r="54" spans="2:8" x14ac:dyDescent="0.25">
      <c r="B54" s="220" t="s">
        <v>132</v>
      </c>
      <c r="C54" s="225"/>
      <c r="D54" s="225"/>
      <c r="E54" s="225"/>
      <c r="F54" s="226"/>
      <c r="G54" s="155">
        <f>Ressources!P49</f>
        <v>60000</v>
      </c>
      <c r="H54" s="151" t="s">
        <v>131</v>
      </c>
    </row>
    <row r="55" spans="2:8" x14ac:dyDescent="0.25">
      <c r="B55" s="220" t="s">
        <v>192</v>
      </c>
      <c r="C55" s="225"/>
      <c r="D55" s="225"/>
      <c r="E55" s="225"/>
      <c r="F55" s="226"/>
      <c r="G55" s="132">
        <f>Ressources!P50</f>
        <v>60000</v>
      </c>
      <c r="H55" s="151" t="s">
        <v>131</v>
      </c>
    </row>
    <row r="56" spans="2:8" x14ac:dyDescent="0.25">
      <c r="B56" s="220" t="s">
        <v>133</v>
      </c>
      <c r="C56" s="225"/>
      <c r="D56" s="225"/>
      <c r="E56" s="225"/>
      <c r="F56" s="226"/>
      <c r="G56" s="156">
        <f>Ressources!P51</f>
        <v>0</v>
      </c>
      <c r="H56" s="151" t="s">
        <v>131</v>
      </c>
    </row>
    <row r="57" spans="2:8" x14ac:dyDescent="0.25">
      <c r="B57" s="220" t="s">
        <v>134</v>
      </c>
      <c r="C57" s="225"/>
      <c r="D57" s="225"/>
      <c r="E57" s="225"/>
      <c r="F57" s="226"/>
      <c r="G57" s="156">
        <f>Ressources!P52</f>
        <v>87500</v>
      </c>
      <c r="H57" s="152" t="s">
        <v>131</v>
      </c>
    </row>
    <row r="58" spans="2:8" x14ac:dyDescent="0.25">
      <c r="B58" s="236" t="s">
        <v>144</v>
      </c>
      <c r="C58" s="266"/>
      <c r="D58" s="266"/>
      <c r="E58" s="266"/>
      <c r="F58" s="267"/>
      <c r="G58" s="138">
        <f>Ressources!P53</f>
        <v>125400</v>
      </c>
      <c r="H58" s="153" t="s">
        <v>131</v>
      </c>
    </row>
    <row r="59" spans="2:8" x14ac:dyDescent="0.25">
      <c r="B59" s="220" t="s">
        <v>241</v>
      </c>
      <c r="C59" s="225"/>
      <c r="D59" s="225"/>
      <c r="E59" s="225"/>
      <c r="F59" s="226"/>
      <c r="G59" s="136">
        <v>0</v>
      </c>
      <c r="H59" s="150" t="s">
        <v>131</v>
      </c>
    </row>
    <row r="60" spans="2:8" x14ac:dyDescent="0.25">
      <c r="B60" s="220" t="s">
        <v>240</v>
      </c>
      <c r="C60" s="225"/>
      <c r="D60" s="225"/>
      <c r="E60" s="225"/>
      <c r="F60" s="226"/>
      <c r="G60" s="136">
        <v>0</v>
      </c>
      <c r="H60" s="150" t="s">
        <v>131</v>
      </c>
    </row>
    <row r="61" spans="2:8" x14ac:dyDescent="0.25">
      <c r="B61" s="220" t="s">
        <v>239</v>
      </c>
      <c r="C61" s="225"/>
      <c r="D61" s="225"/>
      <c r="E61" s="225"/>
      <c r="F61" s="226"/>
      <c r="G61" s="136">
        <v>0</v>
      </c>
      <c r="H61" s="150" t="s">
        <v>131</v>
      </c>
    </row>
    <row r="62" spans="2:8" x14ac:dyDescent="0.25">
      <c r="B62" s="220" t="s">
        <v>238</v>
      </c>
      <c r="C62" s="225"/>
      <c r="D62" s="225"/>
      <c r="E62" s="225"/>
      <c r="F62" s="226"/>
      <c r="G62" s="137">
        <v>0</v>
      </c>
      <c r="H62" s="150" t="s">
        <v>131</v>
      </c>
    </row>
    <row r="63" spans="2:8" x14ac:dyDescent="0.25">
      <c r="B63" s="220" t="s">
        <v>229</v>
      </c>
      <c r="C63" s="225"/>
      <c r="D63" s="225"/>
      <c r="E63" s="225"/>
      <c r="F63" s="226"/>
      <c r="G63" s="137">
        <v>0</v>
      </c>
      <c r="H63" s="150" t="s">
        <v>131</v>
      </c>
    </row>
    <row r="64" spans="2:8" x14ac:dyDescent="0.25">
      <c r="B64" s="220" t="s">
        <v>219</v>
      </c>
      <c r="C64" s="225"/>
      <c r="D64" s="225"/>
      <c r="E64" s="225"/>
      <c r="F64" s="226"/>
      <c r="G64" s="137">
        <v>87000</v>
      </c>
      <c r="H64" s="150" t="s">
        <v>131</v>
      </c>
    </row>
    <row r="65" spans="2:13" x14ac:dyDescent="0.25">
      <c r="B65" s="220" t="s">
        <v>220</v>
      </c>
      <c r="C65" s="225"/>
      <c r="D65" s="225"/>
      <c r="E65" s="225"/>
      <c r="F65" s="226"/>
      <c r="G65" s="137">
        <v>0</v>
      </c>
      <c r="H65" s="150" t="s">
        <v>131</v>
      </c>
    </row>
    <row r="66" spans="2:13" x14ac:dyDescent="0.25">
      <c r="B66" s="236" t="s">
        <v>264</v>
      </c>
      <c r="C66" s="266"/>
      <c r="D66" s="266"/>
      <c r="E66" s="266"/>
      <c r="F66" s="267"/>
      <c r="G66" s="138">
        <f>Ressources!P61</f>
        <v>38400</v>
      </c>
      <c r="H66" s="153" t="s">
        <v>131</v>
      </c>
    </row>
    <row r="78" spans="2:13" ht="3.75" customHeight="1" x14ac:dyDescent="0.25">
      <c r="F78" t="s">
        <v>98</v>
      </c>
      <c r="G78" t="s">
        <v>311</v>
      </c>
      <c r="M78" t="s">
        <v>312</v>
      </c>
    </row>
    <row r="79" spans="2:13" ht="3.75" customHeight="1" x14ac:dyDescent="0.25">
      <c r="F79" s="111">
        <f>SMALL(G79:M79,1)</f>
        <v>7</v>
      </c>
      <c r="G79" s="111">
        <f t="shared" ref="G79:K79" si="1">TRUNC((G23/3),0)</f>
        <v>31</v>
      </c>
      <c r="H79" s="111">
        <f t="shared" si="1"/>
        <v>23</v>
      </c>
      <c r="I79" s="111">
        <f>TRUNC((I23/3),0)</f>
        <v>23</v>
      </c>
      <c r="J79" s="111">
        <f t="shared" si="1"/>
        <v>23</v>
      </c>
      <c r="K79" s="111">
        <f t="shared" si="1"/>
        <v>45</v>
      </c>
      <c r="L79" s="111">
        <f>TRUNC((L23/3),0)</f>
        <v>23</v>
      </c>
      <c r="M79" s="111">
        <f>I11</f>
        <v>7</v>
      </c>
    </row>
  </sheetData>
  <mergeCells count="50">
    <mergeCell ref="B65:F65"/>
    <mergeCell ref="B66:F66"/>
    <mergeCell ref="B59:F59"/>
    <mergeCell ref="B60:F60"/>
    <mergeCell ref="B61:F61"/>
    <mergeCell ref="B62:F62"/>
    <mergeCell ref="B63:F63"/>
    <mergeCell ref="B64:F64"/>
    <mergeCell ref="B58:F58"/>
    <mergeCell ref="B45:F45"/>
    <mergeCell ref="B46:F46"/>
    <mergeCell ref="B47:F47"/>
    <mergeCell ref="B50:F50"/>
    <mergeCell ref="B51:F51"/>
    <mergeCell ref="B52:F52"/>
    <mergeCell ref="B53:F53"/>
    <mergeCell ref="B54:F54"/>
    <mergeCell ref="B55:F55"/>
    <mergeCell ref="B56:F56"/>
    <mergeCell ref="B57:F57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0:F20"/>
    <mergeCell ref="B21:F21"/>
    <mergeCell ref="B22:F22"/>
    <mergeCell ref="G22:J22"/>
    <mergeCell ref="B23:F23"/>
    <mergeCell ref="B24:F24"/>
    <mergeCell ref="B25:F25"/>
    <mergeCell ref="B26:F26"/>
    <mergeCell ref="B27:F27"/>
    <mergeCell ref="B28:F28"/>
    <mergeCell ref="B31:F31"/>
    <mergeCell ref="B19:F19"/>
    <mergeCell ref="D10:G10"/>
    <mergeCell ref="D11:F11"/>
    <mergeCell ref="G16:I16"/>
    <mergeCell ref="K16:L16"/>
    <mergeCell ref="B18:F18"/>
  </mergeCells>
  <conditionalFormatting sqref="F13">
    <cfRule type="containsText" dxfId="47" priority="6" operator="containsText" text="Erreur !">
      <formula>NOT(ISERROR(SEARCH("Erreur !",F13)))</formula>
    </cfRule>
  </conditionalFormatting>
  <conditionalFormatting sqref="I11">
    <cfRule type="containsText" dxfId="46" priority="5" operator="containsText" text="Province ?">
      <formula>NOT(ISERROR(SEARCH("Province ?",I11)))</formula>
    </cfRule>
  </conditionalFormatting>
  <conditionalFormatting sqref="G66">
    <cfRule type="cellIs" dxfId="45" priority="1" operator="lessThan">
      <formula>0</formula>
    </cfRule>
  </conditionalFormatting>
  <conditionalFormatting sqref="G46">
    <cfRule type="cellIs" dxfId="44" priority="4" operator="equal">
      <formula>0</formula>
    </cfRule>
  </conditionalFormatting>
  <conditionalFormatting sqref="G39">
    <cfRule type="cellIs" dxfId="43" priority="3" operator="lessThan">
      <formula>0</formula>
    </cfRule>
  </conditionalFormatting>
  <conditionalFormatting sqref="G57">
    <cfRule type="cellIs" dxfId="42" priority="2" operator="equal">
      <formula>0</formula>
    </cfRule>
  </conditionalFormatting>
  <dataValidations count="6">
    <dataValidation type="whole" operator="greaterThanOrEqual" allowBlank="1" showInputMessage="1" showErrorMessage="1" errorTitle="Chiffre entiers uniquement" error="Les bataillons sont toujours décomptés en nombre entier positifs dans cette version du Wargame." sqref="G42 G53">
      <formula1>0</formula1>
    </dataValidation>
    <dataValidation type="whole" operator="greaterThanOrEqual" allowBlank="1" showInputMessage="1" showErrorMessage="1" errorTitle="Nombre entier uniquement" error="La trésorerie ne peut avoir qu'une valeur entière supérieure ou égale à 0." sqref="G31 G39:G41 G50 G66">
      <formula1>0</formula1>
    </dataValidation>
    <dataValidation type="whole" errorStyle="warning" operator="greaterThanOrEqual" allowBlank="1" showInputMessage="1" showErrorMessage="1" errorTitle="Nombre entier positif uniquement" error="Les mouvements d'argent doivent être indiqués en nombres positifs (soustraction automatique sur le solde)." sqref="G32:G38 G59:G65">
      <formula1>0</formula1>
    </dataValidation>
    <dataValidation errorStyle="information" allowBlank="1" showInputMessage="1" showErrorMessage="1" sqref="D11:F11"/>
    <dataValidation type="whole" errorStyle="warning" allowBlank="1" showInputMessage="1" showErrorMessage="1" errorTitle="Nombre non valide" error="Veuillez mettre un nombre entier compris entre 0 et le maximum de villes que vous pouvez alimenter en ressources." sqref="I12">
      <formula1>0</formula1>
      <formula2>I13</formula2>
    </dataValidation>
    <dataValidation type="whole" errorStyle="warning" operator="greaterThanOrEqual" allowBlank="1" showInputMessage="1" showErrorMessage="1" errorTitle="Nombre entier uniquement" error="Les stocks et variations de marchandises s'expriment uniquement en nombre entiers supérieurs ou égal à 0. Merci." sqref="K22 G18:L20 H21:L21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errorStyle="information" allowBlank="1" showInputMessage="1" showErrorMessage="1" errorTitle="Trop ou pas assez de nourriture" error="• Vous ne possèdez pas cette quantité de nourriture._x000a_• Ou vos soldats sont déjà intégralement payés avec autant de nourriture. Inutile de leur donner plus que le maximum demandé.">
          <x14:formula1>
            <xm:f>0</xm:f>
          </x14:formula1>
          <x14:formula2>
            <xm:f>Ressources!P164</xm:f>
          </x14:formula2>
          <xm:sqref>G25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9"/>
  <sheetViews>
    <sheetView workbookViewId="0">
      <selection activeCell="G25" sqref="G25"/>
    </sheetView>
  </sheetViews>
  <sheetFormatPr baseColWidth="10" defaultRowHeight="15" x14ac:dyDescent="0.25"/>
  <cols>
    <col min="1" max="1" width="1.42578125" customWidth="1"/>
    <col min="5" max="5" width="2.85546875" customWidth="1"/>
    <col min="6" max="6" width="8.5703125" customWidth="1"/>
    <col min="7" max="12" width="10.7109375" customWidth="1"/>
  </cols>
  <sheetData>
    <row r="1" spans="2:12" ht="18.75" x14ac:dyDescent="0.3">
      <c r="B1" s="210" t="s">
        <v>284</v>
      </c>
    </row>
    <row r="2" spans="2:12" x14ac:dyDescent="0.25">
      <c r="B2" s="186"/>
    </row>
    <row r="3" spans="2:12" x14ac:dyDescent="0.25">
      <c r="B3" t="s">
        <v>275</v>
      </c>
    </row>
    <row r="4" spans="2:12" x14ac:dyDescent="0.25">
      <c r="B4" t="s">
        <v>299</v>
      </c>
    </row>
    <row r="5" spans="2:12" x14ac:dyDescent="0.25">
      <c r="B5" t="s">
        <v>273</v>
      </c>
    </row>
    <row r="6" spans="2:12" x14ac:dyDescent="0.25">
      <c r="B6" t="s">
        <v>274</v>
      </c>
    </row>
    <row r="7" spans="2:12" x14ac:dyDescent="0.25">
      <c r="B7" t="s">
        <v>300</v>
      </c>
    </row>
    <row r="9" spans="2:12" ht="15.75" x14ac:dyDescent="0.25">
      <c r="B9" s="125" t="s">
        <v>202</v>
      </c>
    </row>
    <row r="10" spans="2:12" x14ac:dyDescent="0.25">
      <c r="B10" s="8" t="s">
        <v>92</v>
      </c>
      <c r="D10" s="286" t="s">
        <v>36</v>
      </c>
      <c r="E10" s="287"/>
      <c r="F10" s="287"/>
      <c r="G10" s="288"/>
      <c r="J10" s="126" t="s">
        <v>277</v>
      </c>
    </row>
    <row r="11" spans="2:12" x14ac:dyDescent="0.25">
      <c r="B11" t="s">
        <v>93</v>
      </c>
      <c r="D11" s="274" t="str">
        <f>Ressources!G7</f>
        <v>4E 217</v>
      </c>
      <c r="E11" s="275"/>
      <c r="F11" s="276"/>
      <c r="H11" s="142" t="s">
        <v>255</v>
      </c>
      <c r="I11" s="83">
        <f>Ressources!H174</f>
        <v>7</v>
      </c>
      <c r="J11" s="12"/>
    </row>
    <row r="12" spans="2:12" x14ac:dyDescent="0.25">
      <c r="H12" s="154" t="s">
        <v>257</v>
      </c>
      <c r="I12" s="82">
        <v>5</v>
      </c>
      <c r="J12" s="126" t="s">
        <v>266</v>
      </c>
      <c r="K12" s="8"/>
    </row>
    <row r="13" spans="2:12" x14ac:dyDescent="0.25">
      <c r="D13" s="142" t="s">
        <v>182</v>
      </c>
      <c r="E13" s="130" t="s">
        <v>181</v>
      </c>
      <c r="F13" s="131">
        <f>IF(I11&lt;I12,"Erreur !",I12*2.5/I11)</f>
        <v>1.7857142857142858</v>
      </c>
      <c r="H13" s="142" t="s">
        <v>180</v>
      </c>
      <c r="I13" s="117">
        <f>F79</f>
        <v>7</v>
      </c>
      <c r="J13" t="s">
        <v>256</v>
      </c>
    </row>
    <row r="15" spans="2:12" ht="15.75" x14ac:dyDescent="0.25">
      <c r="B15" s="125" t="s">
        <v>325</v>
      </c>
    </row>
    <row r="16" spans="2:12" x14ac:dyDescent="0.25">
      <c r="G16" s="220" t="s">
        <v>233</v>
      </c>
      <c r="H16" s="225"/>
      <c r="I16" s="226"/>
      <c r="J16" s="147">
        <f>Ressources!O11</f>
        <v>250</v>
      </c>
      <c r="K16" s="220" t="s">
        <v>234</v>
      </c>
      <c r="L16" s="226"/>
    </row>
    <row r="17" spans="2:12" x14ac:dyDescent="0.25">
      <c r="B17" s="13"/>
      <c r="G17" s="180" t="s">
        <v>7</v>
      </c>
      <c r="H17" s="180" t="s">
        <v>8</v>
      </c>
      <c r="I17" s="140" t="s">
        <v>9</v>
      </c>
      <c r="J17" s="140" t="s">
        <v>169</v>
      </c>
      <c r="K17" s="140" t="s">
        <v>170</v>
      </c>
      <c r="L17" s="140" t="s">
        <v>84</v>
      </c>
    </row>
    <row r="18" spans="2:12" x14ac:dyDescent="0.25">
      <c r="B18" s="235" t="s">
        <v>210</v>
      </c>
      <c r="C18" s="235"/>
      <c r="D18" s="235"/>
      <c r="E18" s="235"/>
      <c r="F18" s="235"/>
      <c r="G18" s="177">
        <v>5</v>
      </c>
      <c r="H18" s="177">
        <v>5</v>
      </c>
      <c r="I18" s="128">
        <v>5</v>
      </c>
      <c r="J18" s="128">
        <v>5</v>
      </c>
      <c r="K18" s="128">
        <v>5</v>
      </c>
      <c r="L18" s="128">
        <v>5</v>
      </c>
    </row>
    <row r="19" spans="2:12" x14ac:dyDescent="0.25">
      <c r="B19" s="219" t="s">
        <v>208</v>
      </c>
      <c r="C19" s="219"/>
      <c r="D19" s="219"/>
      <c r="E19" s="219"/>
      <c r="F19" s="219"/>
      <c r="G19" s="184">
        <v>105</v>
      </c>
      <c r="H19" s="184">
        <v>105</v>
      </c>
      <c r="I19" s="107">
        <v>105</v>
      </c>
      <c r="J19" s="107">
        <v>105</v>
      </c>
      <c r="K19" s="107">
        <v>205</v>
      </c>
      <c r="L19" s="107">
        <v>105</v>
      </c>
    </row>
    <row r="20" spans="2:12" x14ac:dyDescent="0.25">
      <c r="B20" s="219" t="s">
        <v>209</v>
      </c>
      <c r="C20" s="219"/>
      <c r="D20" s="219"/>
      <c r="E20" s="219"/>
      <c r="F20" s="219"/>
      <c r="G20" s="181">
        <v>15</v>
      </c>
      <c r="H20" s="181">
        <v>15</v>
      </c>
      <c r="I20" s="108">
        <v>15</v>
      </c>
      <c r="J20" s="108">
        <v>15</v>
      </c>
      <c r="K20" s="108">
        <v>15</v>
      </c>
      <c r="L20" s="108">
        <v>15</v>
      </c>
    </row>
    <row r="21" spans="2:12" x14ac:dyDescent="0.25">
      <c r="B21" s="219" t="s">
        <v>190</v>
      </c>
      <c r="C21" s="219"/>
      <c r="D21" s="219"/>
      <c r="E21" s="219"/>
      <c r="F21" s="219"/>
      <c r="G21" s="182"/>
      <c r="H21" s="181">
        <v>25</v>
      </c>
      <c r="I21" s="108">
        <v>25</v>
      </c>
      <c r="J21" s="108">
        <v>25</v>
      </c>
      <c r="K21" s="108">
        <v>25</v>
      </c>
      <c r="L21" s="108">
        <v>25</v>
      </c>
    </row>
    <row r="22" spans="2:12" x14ac:dyDescent="0.25">
      <c r="B22" s="219" t="s">
        <v>194</v>
      </c>
      <c r="C22" s="219"/>
      <c r="D22" s="219"/>
      <c r="E22" s="219"/>
      <c r="F22" s="219"/>
      <c r="G22" s="220"/>
      <c r="H22" s="225"/>
      <c r="I22" s="225"/>
      <c r="J22" s="226"/>
      <c r="K22" s="108">
        <v>35</v>
      </c>
      <c r="L22" s="96"/>
    </row>
    <row r="23" spans="2:12" x14ac:dyDescent="0.25">
      <c r="B23" s="219" t="s">
        <v>193</v>
      </c>
      <c r="C23" s="219"/>
      <c r="D23" s="219"/>
      <c r="E23" s="219"/>
      <c r="F23" s="219"/>
      <c r="G23" s="200">
        <f>G18+G19-G20</f>
        <v>95</v>
      </c>
      <c r="H23" s="200">
        <f>H18+H19-H20-H21</f>
        <v>70</v>
      </c>
      <c r="I23" s="111">
        <f>I18+I19-I20-I21</f>
        <v>70</v>
      </c>
      <c r="J23" s="111">
        <f>J18+J19-J20-J21</f>
        <v>70</v>
      </c>
      <c r="K23" s="111">
        <f>K18+K19-K20-K21-K22</f>
        <v>135</v>
      </c>
      <c r="L23" s="111">
        <f>L18+L19-L20-L21-L22</f>
        <v>70</v>
      </c>
    </row>
    <row r="24" spans="2:12" x14ac:dyDescent="0.25">
      <c r="B24" s="219" t="s">
        <v>218</v>
      </c>
      <c r="C24" s="219"/>
      <c r="D24" s="219"/>
      <c r="E24" s="219"/>
      <c r="F24" s="219"/>
      <c r="G24" s="198">
        <f>3*$I12</f>
        <v>15</v>
      </c>
      <c r="H24" s="198">
        <f t="shared" ref="H24:L24" si="0">3*$I12</f>
        <v>15</v>
      </c>
      <c r="I24" s="198">
        <f t="shared" si="0"/>
        <v>15</v>
      </c>
      <c r="J24" s="198">
        <f t="shared" si="0"/>
        <v>15</v>
      </c>
      <c r="K24" s="198">
        <f t="shared" si="0"/>
        <v>15</v>
      </c>
      <c r="L24" s="110">
        <f t="shared" si="0"/>
        <v>15</v>
      </c>
    </row>
    <row r="25" spans="2:12" x14ac:dyDescent="0.25">
      <c r="B25" s="219" t="s">
        <v>128</v>
      </c>
      <c r="C25" s="219"/>
      <c r="D25" s="219"/>
      <c r="E25" s="219"/>
      <c r="F25" s="219"/>
      <c r="G25" s="181">
        <v>60</v>
      </c>
      <c r="H25" s="213" t="s">
        <v>196</v>
      </c>
      <c r="I25" s="118">
        <f>Ressources!M20</f>
        <v>60</v>
      </c>
      <c r="J25" s="115" t="s">
        <v>135</v>
      </c>
      <c r="K25" s="119"/>
      <c r="L25" s="85"/>
    </row>
    <row r="26" spans="2:12" x14ac:dyDescent="0.25">
      <c r="B26" s="219" t="s">
        <v>129</v>
      </c>
      <c r="C26" s="219"/>
      <c r="D26" s="219"/>
      <c r="E26" s="219"/>
      <c r="F26" s="219"/>
      <c r="G26" s="214">
        <f>Ressources!J21</f>
        <v>64</v>
      </c>
      <c r="H26" s="214">
        <f>Ressources!L21</f>
        <v>28</v>
      </c>
      <c r="I26" s="109">
        <f>Ressources!N21</f>
        <v>32</v>
      </c>
      <c r="J26" s="109">
        <f>Ressources!O21</f>
        <v>0</v>
      </c>
      <c r="K26" s="109">
        <f>Ressources!P21</f>
        <v>24</v>
      </c>
      <c r="L26" s="109">
        <f>Ressources!Q21</f>
        <v>12</v>
      </c>
    </row>
    <row r="27" spans="2:12" x14ac:dyDescent="0.25">
      <c r="B27" s="219" t="s">
        <v>235</v>
      </c>
      <c r="C27" s="219"/>
      <c r="D27" s="219"/>
      <c r="E27" s="219"/>
      <c r="F27" s="219"/>
      <c r="G27" s="198">
        <f>IF(G23-G24+G26-G25&gt;$J16,G23-G24+G26-G25-$J16,0)</f>
        <v>0</v>
      </c>
      <c r="H27" s="198">
        <f>IF(H23-H24+H26&gt;$J16,H23-H24+H26-$J16,0)</f>
        <v>0</v>
      </c>
      <c r="I27" s="110">
        <f>IF(I23-I24+I26&gt;$J16,I23-I24+I26-$J16,0)</f>
        <v>0</v>
      </c>
      <c r="J27" s="110">
        <f>IF(J23-J24+J26&gt;$J16,J23-J24+J26-$J16,0)</f>
        <v>0</v>
      </c>
      <c r="K27" s="110">
        <f>IF(K23-K24+K26&gt;$J16,K23-K24+K26-$J16,0)</f>
        <v>0</v>
      </c>
      <c r="L27" s="110">
        <f>IF(L23-L24+L26&gt;$J16,L23-L24+L26-$J16,0)</f>
        <v>0</v>
      </c>
    </row>
    <row r="28" spans="2:12" x14ac:dyDescent="0.25">
      <c r="B28" s="235" t="s">
        <v>217</v>
      </c>
      <c r="C28" s="235"/>
      <c r="D28" s="235"/>
      <c r="E28" s="235"/>
      <c r="F28" s="235"/>
      <c r="G28" s="199">
        <f>G23-G24+G26-G25-G27</f>
        <v>84</v>
      </c>
      <c r="H28" s="199">
        <f>H23-H24+H26-H27</f>
        <v>83</v>
      </c>
      <c r="I28" s="129">
        <f>I23-I24+I26-I27</f>
        <v>87</v>
      </c>
      <c r="J28" s="129">
        <f>J23-J24+J26-J27</f>
        <v>55</v>
      </c>
      <c r="K28" s="129">
        <f>K23-K24+K26-K27</f>
        <v>144</v>
      </c>
      <c r="L28" s="129">
        <f>L23-L24+L26-L27</f>
        <v>67</v>
      </c>
    </row>
    <row r="30" spans="2:12" ht="15.75" x14ac:dyDescent="0.25">
      <c r="B30" s="146" t="str">
        <f>Ressources!C25</f>
        <v>Historique des finances du 1er Primétoile de l'année précédente au 1er Primétoile de l'année 4E 217 :</v>
      </c>
    </row>
    <row r="31" spans="2:12" x14ac:dyDescent="0.25">
      <c r="B31" s="236" t="s">
        <v>232</v>
      </c>
      <c r="C31" s="266"/>
      <c r="D31" s="266"/>
      <c r="E31" s="266"/>
      <c r="F31" s="267"/>
      <c r="G31" s="135">
        <v>204000</v>
      </c>
      <c r="H31" s="149" t="s">
        <v>131</v>
      </c>
    </row>
    <row r="32" spans="2:12" x14ac:dyDescent="0.25">
      <c r="B32" s="220" t="s">
        <v>241</v>
      </c>
      <c r="C32" s="225"/>
      <c r="D32" s="225"/>
      <c r="E32" s="225"/>
      <c r="F32" s="226"/>
      <c r="G32" s="136">
        <v>0</v>
      </c>
      <c r="H32" s="150" t="s">
        <v>131</v>
      </c>
    </row>
    <row r="33" spans="2:8" x14ac:dyDescent="0.25">
      <c r="B33" s="220" t="s">
        <v>240</v>
      </c>
      <c r="C33" s="225"/>
      <c r="D33" s="225"/>
      <c r="E33" s="225"/>
      <c r="F33" s="226"/>
      <c r="G33" s="136">
        <v>0</v>
      </c>
      <c r="H33" s="150" t="s">
        <v>131</v>
      </c>
    </row>
    <row r="34" spans="2:8" x14ac:dyDescent="0.25">
      <c r="B34" s="220" t="s">
        <v>239</v>
      </c>
      <c r="C34" s="225"/>
      <c r="D34" s="225"/>
      <c r="E34" s="225"/>
      <c r="F34" s="226"/>
      <c r="G34" s="136">
        <v>0</v>
      </c>
      <c r="H34" s="150" t="s">
        <v>131</v>
      </c>
    </row>
    <row r="35" spans="2:8" x14ac:dyDescent="0.25">
      <c r="B35" s="220" t="s">
        <v>238</v>
      </c>
      <c r="C35" s="225"/>
      <c r="D35" s="225"/>
      <c r="E35" s="225"/>
      <c r="F35" s="226"/>
      <c r="G35" s="137">
        <v>0</v>
      </c>
      <c r="H35" s="150" t="s">
        <v>131</v>
      </c>
    </row>
    <row r="36" spans="2:8" x14ac:dyDescent="0.25">
      <c r="B36" s="220" t="s">
        <v>229</v>
      </c>
      <c r="C36" s="225"/>
      <c r="D36" s="225"/>
      <c r="E36" s="225"/>
      <c r="F36" s="226"/>
      <c r="G36" s="137">
        <v>0</v>
      </c>
      <c r="H36" s="150" t="s">
        <v>131</v>
      </c>
    </row>
    <row r="37" spans="2:8" x14ac:dyDescent="0.25">
      <c r="B37" s="220" t="s">
        <v>219</v>
      </c>
      <c r="C37" s="225"/>
      <c r="D37" s="225"/>
      <c r="E37" s="225"/>
      <c r="F37" s="226"/>
      <c r="G37" s="137">
        <v>160000</v>
      </c>
      <c r="H37" s="150" t="s">
        <v>131</v>
      </c>
    </row>
    <row r="38" spans="2:8" x14ac:dyDescent="0.25">
      <c r="B38" s="220" t="s">
        <v>220</v>
      </c>
      <c r="C38" s="225"/>
      <c r="D38" s="225"/>
      <c r="E38" s="225"/>
      <c r="F38" s="226"/>
      <c r="G38" s="137">
        <v>0</v>
      </c>
      <c r="H38" s="150" t="s">
        <v>131</v>
      </c>
    </row>
    <row r="39" spans="2:8" x14ac:dyDescent="0.25">
      <c r="B39" s="236" t="s">
        <v>143</v>
      </c>
      <c r="C39" s="266"/>
      <c r="D39" s="266"/>
      <c r="E39" s="266"/>
      <c r="F39" s="267"/>
      <c r="G39" s="138">
        <f>Ressources!P34</f>
        <v>48750</v>
      </c>
      <c r="H39" s="153" t="s">
        <v>131</v>
      </c>
    </row>
    <row r="40" spans="2:8" x14ac:dyDescent="0.25">
      <c r="B40" s="220" t="s">
        <v>130</v>
      </c>
      <c r="C40" s="225"/>
      <c r="D40" s="225"/>
      <c r="E40" s="225"/>
      <c r="F40" s="226"/>
      <c r="G40" s="132">
        <f>Ressources!P35</f>
        <v>87500</v>
      </c>
      <c r="H40" s="151" t="s">
        <v>131</v>
      </c>
    </row>
    <row r="41" spans="2:8" x14ac:dyDescent="0.25">
      <c r="B41" s="220" t="s">
        <v>236</v>
      </c>
      <c r="C41" s="225"/>
      <c r="D41" s="225"/>
      <c r="E41" s="225"/>
      <c r="F41" s="226"/>
      <c r="G41" s="132">
        <f>TRUNC(G27+H27+I27+J27+K27+L27)*250</f>
        <v>0</v>
      </c>
      <c r="H41" s="151" t="s">
        <v>131</v>
      </c>
    </row>
    <row r="42" spans="2:8" x14ac:dyDescent="0.25">
      <c r="B42" s="220" t="s">
        <v>179</v>
      </c>
      <c r="C42" s="225"/>
      <c r="D42" s="225"/>
      <c r="E42" s="225"/>
      <c r="F42" s="226"/>
      <c r="G42" s="121">
        <v>141</v>
      </c>
      <c r="H42" s="150" t="s">
        <v>191</v>
      </c>
    </row>
    <row r="43" spans="2:8" x14ac:dyDescent="0.25">
      <c r="B43" s="220" t="s">
        <v>132</v>
      </c>
      <c r="C43" s="225"/>
      <c r="D43" s="225"/>
      <c r="E43" s="225"/>
      <c r="F43" s="226"/>
      <c r="G43" s="155">
        <f>G42*200</f>
        <v>28200</v>
      </c>
      <c r="H43" s="151" t="s">
        <v>131</v>
      </c>
    </row>
    <row r="44" spans="2:8" x14ac:dyDescent="0.25">
      <c r="B44" s="220" t="s">
        <v>192</v>
      </c>
      <c r="C44" s="225"/>
      <c r="D44" s="225"/>
      <c r="E44" s="225"/>
      <c r="F44" s="226"/>
      <c r="G44" s="132">
        <f>Ressources!P39</f>
        <v>60000</v>
      </c>
      <c r="H44" s="151" t="s">
        <v>131</v>
      </c>
    </row>
    <row r="45" spans="2:8" x14ac:dyDescent="0.25">
      <c r="B45" s="220" t="s">
        <v>133</v>
      </c>
      <c r="C45" s="225"/>
      <c r="D45" s="225"/>
      <c r="E45" s="225"/>
      <c r="F45" s="226"/>
      <c r="G45" s="156">
        <f>Ressources!P40</f>
        <v>0</v>
      </c>
      <c r="H45" s="151" t="s">
        <v>131</v>
      </c>
    </row>
    <row r="46" spans="2:8" x14ac:dyDescent="0.25">
      <c r="B46" s="220" t="s">
        <v>134</v>
      </c>
      <c r="C46" s="225"/>
      <c r="D46" s="225"/>
      <c r="E46" s="225"/>
      <c r="F46" s="226"/>
      <c r="G46" s="156">
        <f>Ressources!P41</f>
        <v>87500</v>
      </c>
      <c r="H46" s="152" t="s">
        <v>131</v>
      </c>
    </row>
    <row r="47" spans="2:8" x14ac:dyDescent="0.25">
      <c r="B47" s="236" t="s">
        <v>144</v>
      </c>
      <c r="C47" s="266"/>
      <c r="D47" s="266"/>
      <c r="E47" s="266"/>
      <c r="F47" s="267"/>
      <c r="G47" s="138">
        <f>Ressources!P42</f>
        <v>136250</v>
      </c>
      <c r="H47" s="153" t="s">
        <v>131</v>
      </c>
    </row>
    <row r="48" spans="2:8" x14ac:dyDescent="0.25">
      <c r="B48" s="139"/>
      <c r="C48" s="139"/>
      <c r="D48" s="139"/>
      <c r="E48" s="139"/>
      <c r="F48" s="139"/>
    </row>
    <row r="49" spans="2:8" ht="15.75" x14ac:dyDescent="0.25">
      <c r="B49" s="146" t="str">
        <f>Ressources!I44</f>
        <v>Historique des finances de l'année 4E 217 :</v>
      </c>
    </row>
    <row r="50" spans="2:8" x14ac:dyDescent="0.25">
      <c r="B50" s="236" t="s">
        <v>143</v>
      </c>
      <c r="C50" s="266"/>
      <c r="D50" s="266"/>
      <c r="E50" s="266"/>
      <c r="F50" s="267"/>
      <c r="G50" s="135">
        <v>37900</v>
      </c>
      <c r="H50" s="149" t="s">
        <v>131</v>
      </c>
    </row>
    <row r="51" spans="2:8" x14ac:dyDescent="0.25">
      <c r="B51" s="220" t="s">
        <v>130</v>
      </c>
      <c r="C51" s="225"/>
      <c r="D51" s="225"/>
      <c r="E51" s="225"/>
      <c r="F51" s="226"/>
      <c r="G51" s="132">
        <f>Ressources!P46</f>
        <v>87500</v>
      </c>
      <c r="H51" s="151" t="s">
        <v>131</v>
      </c>
    </row>
    <row r="52" spans="2:8" x14ac:dyDescent="0.25">
      <c r="B52" s="220" t="s">
        <v>236</v>
      </c>
      <c r="C52" s="225"/>
      <c r="D52" s="225"/>
      <c r="E52" s="225"/>
      <c r="F52" s="226"/>
      <c r="G52" s="132">
        <f>TRUNC(G27+H27+I27+J27+K27+L27)*250</f>
        <v>0</v>
      </c>
      <c r="H52" s="151" t="s">
        <v>131</v>
      </c>
    </row>
    <row r="53" spans="2:8" x14ac:dyDescent="0.25">
      <c r="B53" s="220" t="s">
        <v>179</v>
      </c>
      <c r="C53" s="225"/>
      <c r="D53" s="225"/>
      <c r="E53" s="225"/>
      <c r="F53" s="226"/>
      <c r="G53" s="121">
        <v>55</v>
      </c>
      <c r="H53" s="150" t="s">
        <v>191</v>
      </c>
    </row>
    <row r="54" spans="2:8" x14ac:dyDescent="0.25">
      <c r="B54" s="220" t="s">
        <v>132</v>
      </c>
      <c r="C54" s="225"/>
      <c r="D54" s="225"/>
      <c r="E54" s="225"/>
      <c r="F54" s="226"/>
      <c r="G54" s="155">
        <f>Ressources!P49</f>
        <v>60000</v>
      </c>
      <c r="H54" s="151" t="s">
        <v>131</v>
      </c>
    </row>
    <row r="55" spans="2:8" x14ac:dyDescent="0.25">
      <c r="B55" s="220" t="s">
        <v>192</v>
      </c>
      <c r="C55" s="225"/>
      <c r="D55" s="225"/>
      <c r="E55" s="225"/>
      <c r="F55" s="226"/>
      <c r="G55" s="132">
        <f>Ressources!P50</f>
        <v>60000</v>
      </c>
      <c r="H55" s="151" t="s">
        <v>131</v>
      </c>
    </row>
    <row r="56" spans="2:8" x14ac:dyDescent="0.25">
      <c r="B56" s="220" t="s">
        <v>133</v>
      </c>
      <c r="C56" s="225"/>
      <c r="D56" s="225"/>
      <c r="E56" s="225"/>
      <c r="F56" s="226"/>
      <c r="G56" s="156">
        <f>Ressources!P51</f>
        <v>0</v>
      </c>
      <c r="H56" s="151" t="s">
        <v>131</v>
      </c>
    </row>
    <row r="57" spans="2:8" x14ac:dyDescent="0.25">
      <c r="B57" s="220" t="s">
        <v>134</v>
      </c>
      <c r="C57" s="225"/>
      <c r="D57" s="225"/>
      <c r="E57" s="225"/>
      <c r="F57" s="226"/>
      <c r="G57" s="156">
        <f>Ressources!P52</f>
        <v>87500</v>
      </c>
      <c r="H57" s="152" t="s">
        <v>131</v>
      </c>
    </row>
    <row r="58" spans="2:8" x14ac:dyDescent="0.25">
      <c r="B58" s="236" t="s">
        <v>144</v>
      </c>
      <c r="C58" s="266"/>
      <c r="D58" s="266"/>
      <c r="E58" s="266"/>
      <c r="F58" s="267"/>
      <c r="G58" s="138">
        <f>Ressources!P53</f>
        <v>125400</v>
      </c>
      <c r="H58" s="153" t="s">
        <v>131</v>
      </c>
    </row>
    <row r="59" spans="2:8" x14ac:dyDescent="0.25">
      <c r="B59" s="220" t="s">
        <v>241</v>
      </c>
      <c r="C59" s="225"/>
      <c r="D59" s="225"/>
      <c r="E59" s="225"/>
      <c r="F59" s="226"/>
      <c r="G59" s="136">
        <v>0</v>
      </c>
      <c r="H59" s="150" t="s">
        <v>131</v>
      </c>
    </row>
    <row r="60" spans="2:8" x14ac:dyDescent="0.25">
      <c r="B60" s="220" t="s">
        <v>240</v>
      </c>
      <c r="C60" s="225"/>
      <c r="D60" s="225"/>
      <c r="E60" s="225"/>
      <c r="F60" s="226"/>
      <c r="G60" s="136">
        <v>0</v>
      </c>
      <c r="H60" s="150" t="s">
        <v>131</v>
      </c>
    </row>
    <row r="61" spans="2:8" x14ac:dyDescent="0.25">
      <c r="B61" s="220" t="s">
        <v>239</v>
      </c>
      <c r="C61" s="225"/>
      <c r="D61" s="225"/>
      <c r="E61" s="225"/>
      <c r="F61" s="226"/>
      <c r="G61" s="136">
        <v>0</v>
      </c>
      <c r="H61" s="150" t="s">
        <v>131</v>
      </c>
    </row>
    <row r="62" spans="2:8" x14ac:dyDescent="0.25">
      <c r="B62" s="220" t="s">
        <v>238</v>
      </c>
      <c r="C62" s="225"/>
      <c r="D62" s="225"/>
      <c r="E62" s="225"/>
      <c r="F62" s="226"/>
      <c r="G62" s="137">
        <v>0</v>
      </c>
      <c r="H62" s="150" t="s">
        <v>131</v>
      </c>
    </row>
    <row r="63" spans="2:8" x14ac:dyDescent="0.25">
      <c r="B63" s="220" t="s">
        <v>229</v>
      </c>
      <c r="C63" s="225"/>
      <c r="D63" s="225"/>
      <c r="E63" s="225"/>
      <c r="F63" s="226"/>
      <c r="G63" s="137">
        <v>0</v>
      </c>
      <c r="H63" s="150" t="s">
        <v>131</v>
      </c>
    </row>
    <row r="64" spans="2:8" x14ac:dyDescent="0.25">
      <c r="B64" s="220" t="s">
        <v>219</v>
      </c>
      <c r="C64" s="225"/>
      <c r="D64" s="225"/>
      <c r="E64" s="225"/>
      <c r="F64" s="226"/>
      <c r="G64" s="137">
        <v>87000</v>
      </c>
      <c r="H64" s="150" t="s">
        <v>131</v>
      </c>
    </row>
    <row r="65" spans="2:13" x14ac:dyDescent="0.25">
      <c r="B65" s="220" t="s">
        <v>220</v>
      </c>
      <c r="C65" s="225"/>
      <c r="D65" s="225"/>
      <c r="E65" s="225"/>
      <c r="F65" s="226"/>
      <c r="G65" s="137">
        <v>0</v>
      </c>
      <c r="H65" s="150" t="s">
        <v>131</v>
      </c>
    </row>
    <row r="66" spans="2:13" x14ac:dyDescent="0.25">
      <c r="B66" s="236" t="s">
        <v>264</v>
      </c>
      <c r="C66" s="266"/>
      <c r="D66" s="266"/>
      <c r="E66" s="266"/>
      <c r="F66" s="267"/>
      <c r="G66" s="138">
        <f>Ressources!P61</f>
        <v>38400</v>
      </c>
      <c r="H66" s="153" t="s">
        <v>131</v>
      </c>
    </row>
    <row r="78" spans="2:13" ht="3.75" customHeight="1" x14ac:dyDescent="0.25">
      <c r="F78" t="s">
        <v>98</v>
      </c>
      <c r="G78" t="s">
        <v>311</v>
      </c>
      <c r="M78" t="s">
        <v>312</v>
      </c>
    </row>
    <row r="79" spans="2:13" ht="3.75" customHeight="1" x14ac:dyDescent="0.25">
      <c r="F79" s="111">
        <f>SMALL(G79:M79,1)</f>
        <v>7</v>
      </c>
      <c r="G79" s="111">
        <f t="shared" ref="G79:K79" si="1">TRUNC((G23/3),0)</f>
        <v>31</v>
      </c>
      <c r="H79" s="111">
        <f t="shared" si="1"/>
        <v>23</v>
      </c>
      <c r="I79" s="111">
        <f>TRUNC((I23/3),0)</f>
        <v>23</v>
      </c>
      <c r="J79" s="111">
        <f t="shared" si="1"/>
        <v>23</v>
      </c>
      <c r="K79" s="111">
        <f t="shared" si="1"/>
        <v>45</v>
      </c>
      <c r="L79" s="111">
        <f>TRUNC((L23/3),0)</f>
        <v>23</v>
      </c>
      <c r="M79" s="111">
        <f>I11</f>
        <v>7</v>
      </c>
    </row>
  </sheetData>
  <mergeCells count="50">
    <mergeCell ref="B65:F65"/>
    <mergeCell ref="B66:F66"/>
    <mergeCell ref="B59:F59"/>
    <mergeCell ref="B60:F60"/>
    <mergeCell ref="B61:F61"/>
    <mergeCell ref="B62:F62"/>
    <mergeCell ref="B63:F63"/>
    <mergeCell ref="B64:F64"/>
    <mergeCell ref="B58:F58"/>
    <mergeCell ref="B45:F45"/>
    <mergeCell ref="B46:F46"/>
    <mergeCell ref="B47:F47"/>
    <mergeCell ref="B50:F50"/>
    <mergeCell ref="B51:F51"/>
    <mergeCell ref="B52:F52"/>
    <mergeCell ref="B53:F53"/>
    <mergeCell ref="B54:F54"/>
    <mergeCell ref="B55:F55"/>
    <mergeCell ref="B56:F56"/>
    <mergeCell ref="B57:F57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0:F20"/>
    <mergeCell ref="B21:F21"/>
    <mergeCell ref="B22:F22"/>
    <mergeCell ref="G22:J22"/>
    <mergeCell ref="B23:F23"/>
    <mergeCell ref="B24:F24"/>
    <mergeCell ref="B25:F25"/>
    <mergeCell ref="B26:F26"/>
    <mergeCell ref="B27:F27"/>
    <mergeCell ref="B28:F28"/>
    <mergeCell ref="B31:F31"/>
    <mergeCell ref="B19:F19"/>
    <mergeCell ref="D10:G10"/>
    <mergeCell ref="D11:F11"/>
    <mergeCell ref="G16:I16"/>
    <mergeCell ref="K16:L16"/>
    <mergeCell ref="B18:F18"/>
  </mergeCells>
  <conditionalFormatting sqref="F13">
    <cfRule type="containsText" dxfId="41" priority="6" operator="containsText" text="Erreur !">
      <formula>NOT(ISERROR(SEARCH("Erreur !",F13)))</formula>
    </cfRule>
  </conditionalFormatting>
  <conditionalFormatting sqref="I11">
    <cfRule type="containsText" dxfId="40" priority="5" operator="containsText" text="Province ?">
      <formula>NOT(ISERROR(SEARCH("Province ?",I11)))</formula>
    </cfRule>
  </conditionalFormatting>
  <conditionalFormatting sqref="G66">
    <cfRule type="cellIs" dxfId="39" priority="1" operator="lessThan">
      <formula>0</formula>
    </cfRule>
  </conditionalFormatting>
  <conditionalFormatting sqref="G46">
    <cfRule type="cellIs" dxfId="38" priority="4" operator="equal">
      <formula>0</formula>
    </cfRule>
  </conditionalFormatting>
  <conditionalFormatting sqref="G39">
    <cfRule type="cellIs" dxfId="37" priority="3" operator="lessThan">
      <formula>0</formula>
    </cfRule>
  </conditionalFormatting>
  <conditionalFormatting sqref="G57">
    <cfRule type="cellIs" dxfId="36" priority="2" operator="equal">
      <formula>0</formula>
    </cfRule>
  </conditionalFormatting>
  <dataValidations count="6">
    <dataValidation type="whole" operator="greaterThanOrEqual" allowBlank="1" showInputMessage="1" showErrorMessage="1" errorTitle="Chiffre entiers uniquement" error="Les bataillons sont toujours décomptés en nombre entier positifs dans cette version du Wargame." sqref="G42 G53">
      <formula1>0</formula1>
    </dataValidation>
    <dataValidation type="whole" operator="greaterThanOrEqual" allowBlank="1" showInputMessage="1" showErrorMessage="1" errorTitle="Nombre entier uniquement" error="La trésorerie ne peut avoir qu'une valeur entière supérieure ou égale à 0." sqref="G31 G39:G41 G50 G66">
      <formula1>0</formula1>
    </dataValidation>
    <dataValidation type="whole" errorStyle="warning" operator="greaterThanOrEqual" allowBlank="1" showInputMessage="1" showErrorMessage="1" errorTitle="Nombre entier positif uniquement" error="Les mouvements d'argent doivent être indiqués en nombres positifs (soustraction automatique sur le solde)." sqref="G32:G38 G59:G65">
      <formula1>0</formula1>
    </dataValidation>
    <dataValidation errorStyle="information" allowBlank="1" showInputMessage="1" showErrorMessage="1" sqref="D11:F11"/>
    <dataValidation type="whole" errorStyle="warning" allowBlank="1" showInputMessage="1" showErrorMessage="1" errorTitle="Nombre non valide" error="Veuillez mettre un nombre entier compris entre 0 et le maximum de villes que vous pouvez alimenter en ressources." sqref="I12">
      <formula1>0</formula1>
      <formula2>I13</formula2>
    </dataValidation>
    <dataValidation type="whole" errorStyle="warning" operator="greaterThanOrEqual" allowBlank="1" showInputMessage="1" showErrorMessage="1" errorTitle="Nombre entier uniquement" error="Les stocks et variations de marchandises s'expriment uniquement en nombre entiers supérieurs ou égal à 0. Merci." sqref="K22 H21:L21 G18:L20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errorStyle="information" allowBlank="1" showInputMessage="1" showErrorMessage="1" errorTitle="Trop ou pas assez de nourriture" error="• Vous ne possèdez pas cette quantité de nourriture._x000a_• Ou vos soldats sont déjà intégralement payés avec autant de nourriture. Inutile de leur donner plus que le maximum demandé.">
          <x14:formula1>
            <xm:f>0</xm:f>
          </x14:formula1>
          <x14:formula2>
            <xm:f>Ressources!P164</xm:f>
          </x14:formula2>
          <xm:sqref>G25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9"/>
  <sheetViews>
    <sheetView workbookViewId="0">
      <selection activeCell="G25" sqref="G25"/>
    </sheetView>
  </sheetViews>
  <sheetFormatPr baseColWidth="10" defaultRowHeight="15" x14ac:dyDescent="0.25"/>
  <cols>
    <col min="1" max="1" width="1.42578125" customWidth="1"/>
    <col min="5" max="5" width="2.85546875" customWidth="1"/>
    <col min="6" max="6" width="8.5703125" customWidth="1"/>
    <col min="7" max="12" width="10.7109375" customWidth="1"/>
  </cols>
  <sheetData>
    <row r="1" spans="2:12" ht="18.75" x14ac:dyDescent="0.3">
      <c r="B1" s="209" t="s">
        <v>283</v>
      </c>
    </row>
    <row r="2" spans="2:12" x14ac:dyDescent="0.25">
      <c r="B2" s="186"/>
    </row>
    <row r="3" spans="2:12" x14ac:dyDescent="0.25">
      <c r="B3" t="s">
        <v>275</v>
      </c>
    </row>
    <row r="4" spans="2:12" x14ac:dyDescent="0.25">
      <c r="B4" t="s">
        <v>297</v>
      </c>
    </row>
    <row r="5" spans="2:12" x14ac:dyDescent="0.25">
      <c r="B5" t="s">
        <v>273</v>
      </c>
    </row>
    <row r="6" spans="2:12" x14ac:dyDescent="0.25">
      <c r="B6" t="s">
        <v>274</v>
      </c>
    </row>
    <row r="7" spans="2:12" x14ac:dyDescent="0.25">
      <c r="B7" t="s">
        <v>298</v>
      </c>
    </row>
    <row r="9" spans="2:12" ht="15.75" x14ac:dyDescent="0.25">
      <c r="B9" s="125" t="s">
        <v>202</v>
      </c>
    </row>
    <row r="10" spans="2:12" x14ac:dyDescent="0.25">
      <c r="B10" s="8" t="s">
        <v>92</v>
      </c>
      <c r="D10" s="289" t="s">
        <v>43</v>
      </c>
      <c r="E10" s="290"/>
      <c r="F10" s="290"/>
      <c r="G10" s="291"/>
      <c r="J10" s="126" t="s">
        <v>277</v>
      </c>
    </row>
    <row r="11" spans="2:12" x14ac:dyDescent="0.25">
      <c r="B11" t="s">
        <v>93</v>
      </c>
      <c r="D11" s="274" t="str">
        <f>Ressources!G7</f>
        <v>4E 217</v>
      </c>
      <c r="E11" s="275"/>
      <c r="F11" s="276"/>
      <c r="H11" s="142" t="s">
        <v>255</v>
      </c>
      <c r="I11" s="83">
        <f>Ressources!H175</f>
        <v>8</v>
      </c>
      <c r="J11" s="12"/>
    </row>
    <row r="12" spans="2:12" x14ac:dyDescent="0.25">
      <c r="H12" s="154" t="s">
        <v>257</v>
      </c>
      <c r="I12" s="82">
        <v>6</v>
      </c>
      <c r="J12" s="126" t="s">
        <v>266</v>
      </c>
      <c r="K12" s="8"/>
    </row>
    <row r="13" spans="2:12" x14ac:dyDescent="0.25">
      <c r="D13" s="142" t="s">
        <v>182</v>
      </c>
      <c r="E13" s="130" t="s">
        <v>181</v>
      </c>
      <c r="F13" s="131">
        <f>IF(I11&lt;I12,"Erreur !",I12*2.5/I11)</f>
        <v>1.875</v>
      </c>
      <c r="H13" s="142" t="s">
        <v>180</v>
      </c>
      <c r="I13" s="117">
        <f>F79</f>
        <v>8</v>
      </c>
      <c r="J13" t="s">
        <v>256</v>
      </c>
    </row>
    <row r="15" spans="2:12" ht="15.75" x14ac:dyDescent="0.25">
      <c r="B15" s="125" t="s">
        <v>324</v>
      </c>
    </row>
    <row r="16" spans="2:12" x14ac:dyDescent="0.25">
      <c r="G16" s="220" t="s">
        <v>233</v>
      </c>
      <c r="H16" s="225"/>
      <c r="I16" s="226"/>
      <c r="J16" s="147">
        <f>Ressources!O11</f>
        <v>250</v>
      </c>
      <c r="K16" s="220" t="s">
        <v>234</v>
      </c>
      <c r="L16" s="226"/>
    </row>
    <row r="17" spans="2:12" x14ac:dyDescent="0.25">
      <c r="B17" s="13"/>
      <c r="G17" s="180" t="s">
        <v>7</v>
      </c>
      <c r="H17" s="180" t="s">
        <v>8</v>
      </c>
      <c r="I17" s="140" t="s">
        <v>9</v>
      </c>
      <c r="J17" s="140" t="s">
        <v>169</v>
      </c>
      <c r="K17" s="140" t="s">
        <v>170</v>
      </c>
      <c r="L17" s="140" t="s">
        <v>84</v>
      </c>
    </row>
    <row r="18" spans="2:12" x14ac:dyDescent="0.25">
      <c r="B18" s="235" t="s">
        <v>210</v>
      </c>
      <c r="C18" s="235"/>
      <c r="D18" s="235"/>
      <c r="E18" s="235"/>
      <c r="F18" s="235"/>
      <c r="G18" s="177">
        <v>6</v>
      </c>
      <c r="H18" s="177">
        <v>6</v>
      </c>
      <c r="I18" s="128">
        <v>6</v>
      </c>
      <c r="J18" s="128">
        <v>6</v>
      </c>
      <c r="K18" s="128">
        <v>6</v>
      </c>
      <c r="L18" s="128">
        <v>6</v>
      </c>
    </row>
    <row r="19" spans="2:12" x14ac:dyDescent="0.25">
      <c r="B19" s="219" t="s">
        <v>208</v>
      </c>
      <c r="C19" s="219"/>
      <c r="D19" s="219"/>
      <c r="E19" s="219"/>
      <c r="F19" s="219"/>
      <c r="G19" s="184">
        <v>106</v>
      </c>
      <c r="H19" s="184">
        <v>106</v>
      </c>
      <c r="I19" s="107">
        <v>106</v>
      </c>
      <c r="J19" s="107">
        <v>106</v>
      </c>
      <c r="K19" s="107">
        <v>206</v>
      </c>
      <c r="L19" s="107">
        <v>106</v>
      </c>
    </row>
    <row r="20" spans="2:12" x14ac:dyDescent="0.25">
      <c r="B20" s="219" t="s">
        <v>209</v>
      </c>
      <c r="C20" s="219"/>
      <c r="D20" s="219"/>
      <c r="E20" s="219"/>
      <c r="F20" s="219"/>
      <c r="G20" s="181">
        <v>16</v>
      </c>
      <c r="H20" s="181">
        <v>16</v>
      </c>
      <c r="I20" s="108">
        <v>16</v>
      </c>
      <c r="J20" s="108">
        <v>16</v>
      </c>
      <c r="K20" s="108">
        <v>16</v>
      </c>
      <c r="L20" s="108">
        <v>16</v>
      </c>
    </row>
    <row r="21" spans="2:12" x14ac:dyDescent="0.25">
      <c r="B21" s="219" t="s">
        <v>190</v>
      </c>
      <c r="C21" s="219"/>
      <c r="D21" s="219"/>
      <c r="E21" s="219"/>
      <c r="F21" s="219"/>
      <c r="G21" s="182"/>
      <c r="H21" s="181">
        <v>26</v>
      </c>
      <c r="I21" s="108">
        <v>26</v>
      </c>
      <c r="J21" s="108">
        <v>26</v>
      </c>
      <c r="K21" s="108">
        <v>26</v>
      </c>
      <c r="L21" s="108">
        <v>26</v>
      </c>
    </row>
    <row r="22" spans="2:12" x14ac:dyDescent="0.25">
      <c r="B22" s="219" t="s">
        <v>194</v>
      </c>
      <c r="C22" s="219"/>
      <c r="D22" s="219"/>
      <c r="E22" s="219"/>
      <c r="F22" s="219"/>
      <c r="G22" s="220"/>
      <c r="H22" s="225"/>
      <c r="I22" s="225"/>
      <c r="J22" s="226"/>
      <c r="K22" s="108">
        <v>36</v>
      </c>
      <c r="L22" s="96"/>
    </row>
    <row r="23" spans="2:12" x14ac:dyDescent="0.25">
      <c r="B23" s="219" t="s">
        <v>193</v>
      </c>
      <c r="C23" s="219"/>
      <c r="D23" s="219"/>
      <c r="E23" s="219"/>
      <c r="F23" s="219"/>
      <c r="G23" s="200">
        <f>G18+G19-G20</f>
        <v>96</v>
      </c>
      <c r="H23" s="200">
        <f>H18+H19-H20-H21</f>
        <v>70</v>
      </c>
      <c r="I23" s="111">
        <f>I18+I19-I20-I21</f>
        <v>70</v>
      </c>
      <c r="J23" s="111">
        <f>J18+J19-J20-J21</f>
        <v>70</v>
      </c>
      <c r="K23" s="111">
        <f>K18+K19-K20-K21-K22</f>
        <v>134</v>
      </c>
      <c r="L23" s="111">
        <f>L18+L19-L20-L21-L22</f>
        <v>70</v>
      </c>
    </row>
    <row r="24" spans="2:12" x14ac:dyDescent="0.25">
      <c r="B24" s="219" t="s">
        <v>218</v>
      </c>
      <c r="C24" s="219"/>
      <c r="D24" s="219"/>
      <c r="E24" s="219"/>
      <c r="F24" s="219"/>
      <c r="G24" s="198">
        <f>3*$I12</f>
        <v>18</v>
      </c>
      <c r="H24" s="198">
        <f t="shared" ref="H24:L24" si="0">3*$I12</f>
        <v>18</v>
      </c>
      <c r="I24" s="198">
        <f t="shared" si="0"/>
        <v>18</v>
      </c>
      <c r="J24" s="198">
        <f t="shared" si="0"/>
        <v>18</v>
      </c>
      <c r="K24" s="198">
        <f t="shared" si="0"/>
        <v>18</v>
      </c>
      <c r="L24" s="110">
        <f t="shared" si="0"/>
        <v>18</v>
      </c>
    </row>
    <row r="25" spans="2:12" x14ac:dyDescent="0.25">
      <c r="B25" s="219" t="s">
        <v>128</v>
      </c>
      <c r="C25" s="219"/>
      <c r="D25" s="219"/>
      <c r="E25" s="219"/>
      <c r="F25" s="219"/>
      <c r="G25" s="181">
        <v>60</v>
      </c>
      <c r="H25" s="213" t="s">
        <v>196</v>
      </c>
      <c r="I25" s="118">
        <f>Ressources!M20</f>
        <v>60</v>
      </c>
      <c r="J25" s="115" t="s">
        <v>135</v>
      </c>
      <c r="K25" s="119"/>
      <c r="L25" s="85"/>
    </row>
    <row r="26" spans="2:12" x14ac:dyDescent="0.25">
      <c r="B26" s="219" t="s">
        <v>129</v>
      </c>
      <c r="C26" s="219"/>
      <c r="D26" s="219"/>
      <c r="E26" s="219"/>
      <c r="F26" s="219"/>
      <c r="G26" s="214">
        <f>Ressources!J21</f>
        <v>64</v>
      </c>
      <c r="H26" s="214">
        <f>Ressources!L21</f>
        <v>28</v>
      </c>
      <c r="I26" s="109">
        <f>Ressources!N21</f>
        <v>32</v>
      </c>
      <c r="J26" s="109">
        <f>Ressources!O21</f>
        <v>0</v>
      </c>
      <c r="K26" s="109">
        <f>Ressources!P21</f>
        <v>24</v>
      </c>
      <c r="L26" s="109">
        <f>Ressources!Q21</f>
        <v>12</v>
      </c>
    </row>
    <row r="27" spans="2:12" x14ac:dyDescent="0.25">
      <c r="B27" s="219" t="s">
        <v>235</v>
      </c>
      <c r="C27" s="219"/>
      <c r="D27" s="219"/>
      <c r="E27" s="219"/>
      <c r="F27" s="219"/>
      <c r="G27" s="198">
        <f>IF(G23-G24+G26-G25&gt;$J16,G23-G24+G26-G25-$J16,0)</f>
        <v>0</v>
      </c>
      <c r="H27" s="198">
        <f>IF(H23-H24+H26&gt;$J16,H23-H24+H26-$J16,0)</f>
        <v>0</v>
      </c>
      <c r="I27" s="110">
        <f>IF(I23-I24+I26&gt;$J16,I23-I24+I26-$J16,0)</f>
        <v>0</v>
      </c>
      <c r="J27" s="110">
        <f>IF(J23-J24+J26&gt;$J16,J23-J24+J26-$J16,0)</f>
        <v>0</v>
      </c>
      <c r="K27" s="110">
        <f>IF(K23-K24+K26&gt;$J16,K23-K24+K26-$J16,0)</f>
        <v>0</v>
      </c>
      <c r="L27" s="110">
        <f>IF(L23-L24+L26&gt;$J16,L23-L24+L26-$J16,0)</f>
        <v>0</v>
      </c>
    </row>
    <row r="28" spans="2:12" x14ac:dyDescent="0.25">
      <c r="B28" s="235" t="s">
        <v>217</v>
      </c>
      <c r="C28" s="235"/>
      <c r="D28" s="235"/>
      <c r="E28" s="235"/>
      <c r="F28" s="235"/>
      <c r="G28" s="199">
        <f>G23-G24+G26-G25-G27</f>
        <v>82</v>
      </c>
      <c r="H28" s="199">
        <f>H23-H24+H26-H27</f>
        <v>80</v>
      </c>
      <c r="I28" s="129">
        <f>I23-I24+I26-I27</f>
        <v>84</v>
      </c>
      <c r="J28" s="129">
        <f>J23-J24+J26-J27</f>
        <v>52</v>
      </c>
      <c r="K28" s="129">
        <f>K23-K24+K26-K27</f>
        <v>140</v>
      </c>
      <c r="L28" s="129">
        <f>L23-L24+L26-L27</f>
        <v>64</v>
      </c>
    </row>
    <row r="30" spans="2:12" ht="15.75" x14ac:dyDescent="0.25">
      <c r="B30" s="146" t="str">
        <f>Ressources!C25</f>
        <v>Historique des finances du 1er Primétoile de l'année précédente au 1er Primétoile de l'année 4E 217 :</v>
      </c>
    </row>
    <row r="31" spans="2:12" x14ac:dyDescent="0.25">
      <c r="B31" s="236" t="s">
        <v>232</v>
      </c>
      <c r="C31" s="266"/>
      <c r="D31" s="266"/>
      <c r="E31" s="266"/>
      <c r="F31" s="267"/>
      <c r="G31" s="135">
        <v>204000</v>
      </c>
      <c r="H31" s="149" t="s">
        <v>131</v>
      </c>
    </row>
    <row r="32" spans="2:12" x14ac:dyDescent="0.25">
      <c r="B32" s="220" t="s">
        <v>241</v>
      </c>
      <c r="C32" s="225"/>
      <c r="D32" s="225"/>
      <c r="E32" s="225"/>
      <c r="F32" s="226"/>
      <c r="G32" s="136">
        <v>0</v>
      </c>
      <c r="H32" s="150" t="s">
        <v>131</v>
      </c>
    </row>
    <row r="33" spans="2:8" x14ac:dyDescent="0.25">
      <c r="B33" s="220" t="s">
        <v>240</v>
      </c>
      <c r="C33" s="225"/>
      <c r="D33" s="225"/>
      <c r="E33" s="225"/>
      <c r="F33" s="226"/>
      <c r="G33" s="136">
        <v>0</v>
      </c>
      <c r="H33" s="150" t="s">
        <v>131</v>
      </c>
    </row>
    <row r="34" spans="2:8" x14ac:dyDescent="0.25">
      <c r="B34" s="220" t="s">
        <v>239</v>
      </c>
      <c r="C34" s="225"/>
      <c r="D34" s="225"/>
      <c r="E34" s="225"/>
      <c r="F34" s="226"/>
      <c r="G34" s="136">
        <v>0</v>
      </c>
      <c r="H34" s="150" t="s">
        <v>131</v>
      </c>
    </row>
    <row r="35" spans="2:8" x14ac:dyDescent="0.25">
      <c r="B35" s="220" t="s">
        <v>238</v>
      </c>
      <c r="C35" s="225"/>
      <c r="D35" s="225"/>
      <c r="E35" s="225"/>
      <c r="F35" s="226"/>
      <c r="G35" s="137">
        <v>0</v>
      </c>
      <c r="H35" s="150" t="s">
        <v>131</v>
      </c>
    </row>
    <row r="36" spans="2:8" x14ac:dyDescent="0.25">
      <c r="B36" s="220" t="s">
        <v>229</v>
      </c>
      <c r="C36" s="225"/>
      <c r="D36" s="225"/>
      <c r="E36" s="225"/>
      <c r="F36" s="226"/>
      <c r="G36" s="137">
        <v>0</v>
      </c>
      <c r="H36" s="150" t="s">
        <v>131</v>
      </c>
    </row>
    <row r="37" spans="2:8" x14ac:dyDescent="0.25">
      <c r="B37" s="220" t="s">
        <v>219</v>
      </c>
      <c r="C37" s="225"/>
      <c r="D37" s="225"/>
      <c r="E37" s="225"/>
      <c r="F37" s="226"/>
      <c r="G37" s="137">
        <v>160000</v>
      </c>
      <c r="H37" s="150" t="s">
        <v>131</v>
      </c>
    </row>
    <row r="38" spans="2:8" x14ac:dyDescent="0.25">
      <c r="B38" s="220" t="s">
        <v>220</v>
      </c>
      <c r="C38" s="225"/>
      <c r="D38" s="225"/>
      <c r="E38" s="225"/>
      <c r="F38" s="226"/>
      <c r="G38" s="137">
        <v>0</v>
      </c>
      <c r="H38" s="150" t="s">
        <v>131</v>
      </c>
    </row>
    <row r="39" spans="2:8" x14ac:dyDescent="0.25">
      <c r="B39" s="236" t="s">
        <v>143</v>
      </c>
      <c r="C39" s="266"/>
      <c r="D39" s="266"/>
      <c r="E39" s="266"/>
      <c r="F39" s="267"/>
      <c r="G39" s="138">
        <f>Ressources!P34</f>
        <v>48750</v>
      </c>
      <c r="H39" s="153" t="s">
        <v>131</v>
      </c>
    </row>
    <row r="40" spans="2:8" x14ac:dyDescent="0.25">
      <c r="B40" s="220" t="s">
        <v>130</v>
      </c>
      <c r="C40" s="225"/>
      <c r="D40" s="225"/>
      <c r="E40" s="225"/>
      <c r="F40" s="226"/>
      <c r="G40" s="132">
        <f>Ressources!P35</f>
        <v>87500</v>
      </c>
      <c r="H40" s="151" t="s">
        <v>131</v>
      </c>
    </row>
    <row r="41" spans="2:8" x14ac:dyDescent="0.25">
      <c r="B41" s="220" t="s">
        <v>236</v>
      </c>
      <c r="C41" s="225"/>
      <c r="D41" s="225"/>
      <c r="E41" s="225"/>
      <c r="F41" s="226"/>
      <c r="G41" s="132">
        <f>TRUNC(G27+H27+I27+J27+K27+L27)*250</f>
        <v>0</v>
      </c>
      <c r="H41" s="151" t="s">
        <v>131</v>
      </c>
    </row>
    <row r="42" spans="2:8" x14ac:dyDescent="0.25">
      <c r="B42" s="220" t="s">
        <v>179</v>
      </c>
      <c r="C42" s="225"/>
      <c r="D42" s="225"/>
      <c r="E42" s="225"/>
      <c r="F42" s="226"/>
      <c r="G42" s="121">
        <v>141</v>
      </c>
      <c r="H42" s="150" t="s">
        <v>191</v>
      </c>
    </row>
    <row r="43" spans="2:8" x14ac:dyDescent="0.25">
      <c r="B43" s="220" t="s">
        <v>132</v>
      </c>
      <c r="C43" s="225"/>
      <c r="D43" s="225"/>
      <c r="E43" s="225"/>
      <c r="F43" s="226"/>
      <c r="G43" s="155">
        <f>G42*200</f>
        <v>28200</v>
      </c>
      <c r="H43" s="151" t="s">
        <v>131</v>
      </c>
    </row>
    <row r="44" spans="2:8" x14ac:dyDescent="0.25">
      <c r="B44" s="220" t="s">
        <v>192</v>
      </c>
      <c r="C44" s="225"/>
      <c r="D44" s="225"/>
      <c r="E44" s="225"/>
      <c r="F44" s="226"/>
      <c r="G44" s="132">
        <f>Ressources!P39</f>
        <v>60000</v>
      </c>
      <c r="H44" s="151" t="s">
        <v>131</v>
      </c>
    </row>
    <row r="45" spans="2:8" x14ac:dyDescent="0.25">
      <c r="B45" s="220" t="s">
        <v>133</v>
      </c>
      <c r="C45" s="225"/>
      <c r="D45" s="225"/>
      <c r="E45" s="225"/>
      <c r="F45" s="226"/>
      <c r="G45" s="156">
        <f>Ressources!P40</f>
        <v>0</v>
      </c>
      <c r="H45" s="151" t="s">
        <v>131</v>
      </c>
    </row>
    <row r="46" spans="2:8" x14ac:dyDescent="0.25">
      <c r="B46" s="220" t="s">
        <v>134</v>
      </c>
      <c r="C46" s="225"/>
      <c r="D46" s="225"/>
      <c r="E46" s="225"/>
      <c r="F46" s="226"/>
      <c r="G46" s="156">
        <f>Ressources!P41</f>
        <v>87500</v>
      </c>
      <c r="H46" s="152" t="s">
        <v>131</v>
      </c>
    </row>
    <row r="47" spans="2:8" x14ac:dyDescent="0.25">
      <c r="B47" s="236" t="s">
        <v>144</v>
      </c>
      <c r="C47" s="266"/>
      <c r="D47" s="266"/>
      <c r="E47" s="266"/>
      <c r="F47" s="267"/>
      <c r="G47" s="138">
        <f>Ressources!P42</f>
        <v>136250</v>
      </c>
      <c r="H47" s="153" t="s">
        <v>131</v>
      </c>
    </row>
    <row r="48" spans="2:8" x14ac:dyDescent="0.25">
      <c r="B48" s="139"/>
      <c r="C48" s="139"/>
      <c r="D48" s="139"/>
      <c r="E48" s="139"/>
      <c r="F48" s="139"/>
    </row>
    <row r="49" spans="2:8" ht="15.75" x14ac:dyDescent="0.25">
      <c r="B49" s="146" t="str">
        <f>Ressources!I44</f>
        <v>Historique des finances de l'année 4E 217 :</v>
      </c>
    </row>
    <row r="50" spans="2:8" x14ac:dyDescent="0.25">
      <c r="B50" s="236" t="s">
        <v>143</v>
      </c>
      <c r="C50" s="266"/>
      <c r="D50" s="266"/>
      <c r="E50" s="266"/>
      <c r="F50" s="267"/>
      <c r="G50" s="135">
        <v>37900</v>
      </c>
      <c r="H50" s="149" t="s">
        <v>131</v>
      </c>
    </row>
    <row r="51" spans="2:8" x14ac:dyDescent="0.25">
      <c r="B51" s="220" t="s">
        <v>130</v>
      </c>
      <c r="C51" s="225"/>
      <c r="D51" s="225"/>
      <c r="E51" s="225"/>
      <c r="F51" s="226"/>
      <c r="G51" s="132">
        <f>Ressources!P46</f>
        <v>87500</v>
      </c>
      <c r="H51" s="151" t="s">
        <v>131</v>
      </c>
    </row>
    <row r="52" spans="2:8" x14ac:dyDescent="0.25">
      <c r="B52" s="220" t="s">
        <v>236</v>
      </c>
      <c r="C52" s="225"/>
      <c r="D52" s="225"/>
      <c r="E52" s="225"/>
      <c r="F52" s="226"/>
      <c r="G52" s="132">
        <f>TRUNC(G27+H27+I27+J27+K27+L27)*250</f>
        <v>0</v>
      </c>
      <c r="H52" s="151" t="s">
        <v>131</v>
      </c>
    </row>
    <row r="53" spans="2:8" x14ac:dyDescent="0.25">
      <c r="B53" s="220" t="s">
        <v>179</v>
      </c>
      <c r="C53" s="225"/>
      <c r="D53" s="225"/>
      <c r="E53" s="225"/>
      <c r="F53" s="226"/>
      <c r="G53" s="121">
        <v>55</v>
      </c>
      <c r="H53" s="150" t="s">
        <v>191</v>
      </c>
    </row>
    <row r="54" spans="2:8" x14ac:dyDescent="0.25">
      <c r="B54" s="220" t="s">
        <v>132</v>
      </c>
      <c r="C54" s="225"/>
      <c r="D54" s="225"/>
      <c r="E54" s="225"/>
      <c r="F54" s="226"/>
      <c r="G54" s="155">
        <f>Ressources!P49</f>
        <v>60000</v>
      </c>
      <c r="H54" s="151" t="s">
        <v>131</v>
      </c>
    </row>
    <row r="55" spans="2:8" x14ac:dyDescent="0.25">
      <c r="B55" s="220" t="s">
        <v>192</v>
      </c>
      <c r="C55" s="225"/>
      <c r="D55" s="225"/>
      <c r="E55" s="225"/>
      <c r="F55" s="226"/>
      <c r="G55" s="132">
        <f>Ressources!P50</f>
        <v>60000</v>
      </c>
      <c r="H55" s="151" t="s">
        <v>131</v>
      </c>
    </row>
    <row r="56" spans="2:8" x14ac:dyDescent="0.25">
      <c r="B56" s="220" t="s">
        <v>133</v>
      </c>
      <c r="C56" s="225"/>
      <c r="D56" s="225"/>
      <c r="E56" s="225"/>
      <c r="F56" s="226"/>
      <c r="G56" s="156">
        <f>Ressources!P51</f>
        <v>0</v>
      </c>
      <c r="H56" s="151" t="s">
        <v>131</v>
      </c>
    </row>
    <row r="57" spans="2:8" x14ac:dyDescent="0.25">
      <c r="B57" s="220" t="s">
        <v>134</v>
      </c>
      <c r="C57" s="225"/>
      <c r="D57" s="225"/>
      <c r="E57" s="225"/>
      <c r="F57" s="226"/>
      <c r="G57" s="156">
        <f>Ressources!P52</f>
        <v>87500</v>
      </c>
      <c r="H57" s="152" t="s">
        <v>131</v>
      </c>
    </row>
    <row r="58" spans="2:8" x14ac:dyDescent="0.25">
      <c r="B58" s="236" t="s">
        <v>144</v>
      </c>
      <c r="C58" s="266"/>
      <c r="D58" s="266"/>
      <c r="E58" s="266"/>
      <c r="F58" s="267"/>
      <c r="G58" s="138">
        <f>Ressources!P53</f>
        <v>125400</v>
      </c>
      <c r="H58" s="153" t="s">
        <v>131</v>
      </c>
    </row>
    <row r="59" spans="2:8" x14ac:dyDescent="0.25">
      <c r="B59" s="220" t="s">
        <v>241</v>
      </c>
      <c r="C59" s="225"/>
      <c r="D59" s="225"/>
      <c r="E59" s="225"/>
      <c r="F59" s="226"/>
      <c r="G59" s="136">
        <v>0</v>
      </c>
      <c r="H59" s="150" t="s">
        <v>131</v>
      </c>
    </row>
    <row r="60" spans="2:8" x14ac:dyDescent="0.25">
      <c r="B60" s="220" t="s">
        <v>240</v>
      </c>
      <c r="C60" s="225"/>
      <c r="D60" s="225"/>
      <c r="E60" s="225"/>
      <c r="F60" s="226"/>
      <c r="G60" s="136">
        <v>0</v>
      </c>
      <c r="H60" s="150" t="s">
        <v>131</v>
      </c>
    </row>
    <row r="61" spans="2:8" x14ac:dyDescent="0.25">
      <c r="B61" s="220" t="s">
        <v>239</v>
      </c>
      <c r="C61" s="225"/>
      <c r="D61" s="225"/>
      <c r="E61" s="225"/>
      <c r="F61" s="226"/>
      <c r="G61" s="136">
        <v>0</v>
      </c>
      <c r="H61" s="150" t="s">
        <v>131</v>
      </c>
    </row>
    <row r="62" spans="2:8" x14ac:dyDescent="0.25">
      <c r="B62" s="220" t="s">
        <v>238</v>
      </c>
      <c r="C62" s="225"/>
      <c r="D62" s="225"/>
      <c r="E62" s="225"/>
      <c r="F62" s="226"/>
      <c r="G62" s="137">
        <v>0</v>
      </c>
      <c r="H62" s="150" t="s">
        <v>131</v>
      </c>
    </row>
    <row r="63" spans="2:8" x14ac:dyDescent="0.25">
      <c r="B63" s="220" t="s">
        <v>229</v>
      </c>
      <c r="C63" s="225"/>
      <c r="D63" s="225"/>
      <c r="E63" s="225"/>
      <c r="F63" s="226"/>
      <c r="G63" s="137">
        <v>0</v>
      </c>
      <c r="H63" s="150" t="s">
        <v>131</v>
      </c>
    </row>
    <row r="64" spans="2:8" x14ac:dyDescent="0.25">
      <c r="B64" s="220" t="s">
        <v>219</v>
      </c>
      <c r="C64" s="225"/>
      <c r="D64" s="225"/>
      <c r="E64" s="225"/>
      <c r="F64" s="226"/>
      <c r="G64" s="137">
        <v>87000</v>
      </c>
      <c r="H64" s="150" t="s">
        <v>131</v>
      </c>
    </row>
    <row r="65" spans="2:13" x14ac:dyDescent="0.25">
      <c r="B65" s="220" t="s">
        <v>220</v>
      </c>
      <c r="C65" s="225"/>
      <c r="D65" s="225"/>
      <c r="E65" s="225"/>
      <c r="F65" s="226"/>
      <c r="G65" s="137">
        <v>0</v>
      </c>
      <c r="H65" s="150" t="s">
        <v>131</v>
      </c>
    </row>
    <row r="66" spans="2:13" x14ac:dyDescent="0.25">
      <c r="B66" s="236" t="s">
        <v>264</v>
      </c>
      <c r="C66" s="266"/>
      <c r="D66" s="266"/>
      <c r="E66" s="266"/>
      <c r="F66" s="267"/>
      <c r="G66" s="138">
        <f>Ressources!P61</f>
        <v>38400</v>
      </c>
      <c r="H66" s="153" t="s">
        <v>131</v>
      </c>
    </row>
    <row r="78" spans="2:13" ht="3.75" customHeight="1" x14ac:dyDescent="0.25">
      <c r="F78" t="s">
        <v>98</v>
      </c>
      <c r="G78" t="s">
        <v>311</v>
      </c>
      <c r="M78" t="s">
        <v>312</v>
      </c>
    </row>
    <row r="79" spans="2:13" ht="3.75" customHeight="1" x14ac:dyDescent="0.25">
      <c r="F79" s="111">
        <f>SMALL(G79:M79,1)</f>
        <v>8</v>
      </c>
      <c r="G79" s="111">
        <f t="shared" ref="G79:K79" si="1">TRUNC((G23/3),0)</f>
        <v>32</v>
      </c>
      <c r="H79" s="111">
        <f t="shared" si="1"/>
        <v>23</v>
      </c>
      <c r="I79" s="111">
        <f>TRUNC((I23/3),0)</f>
        <v>23</v>
      </c>
      <c r="J79" s="111">
        <f t="shared" si="1"/>
        <v>23</v>
      </c>
      <c r="K79" s="111">
        <f t="shared" si="1"/>
        <v>44</v>
      </c>
      <c r="L79" s="111">
        <f>TRUNC((L23/3),0)</f>
        <v>23</v>
      </c>
      <c r="M79" s="111">
        <f>I11</f>
        <v>8</v>
      </c>
    </row>
  </sheetData>
  <mergeCells count="50">
    <mergeCell ref="B65:F65"/>
    <mergeCell ref="B66:F66"/>
    <mergeCell ref="B59:F59"/>
    <mergeCell ref="B60:F60"/>
    <mergeCell ref="B61:F61"/>
    <mergeCell ref="B62:F62"/>
    <mergeCell ref="B63:F63"/>
    <mergeCell ref="B64:F64"/>
    <mergeCell ref="B58:F58"/>
    <mergeCell ref="B45:F45"/>
    <mergeCell ref="B46:F46"/>
    <mergeCell ref="B47:F47"/>
    <mergeCell ref="B50:F50"/>
    <mergeCell ref="B51:F51"/>
    <mergeCell ref="B52:F52"/>
    <mergeCell ref="B53:F53"/>
    <mergeCell ref="B54:F54"/>
    <mergeCell ref="B55:F55"/>
    <mergeCell ref="B56:F56"/>
    <mergeCell ref="B57:F57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0:F20"/>
    <mergeCell ref="B21:F21"/>
    <mergeCell ref="B22:F22"/>
    <mergeCell ref="G22:J22"/>
    <mergeCell ref="B23:F23"/>
    <mergeCell ref="B24:F24"/>
    <mergeCell ref="B25:F25"/>
    <mergeCell ref="B26:F26"/>
    <mergeCell ref="B27:F27"/>
    <mergeCell ref="B28:F28"/>
    <mergeCell ref="B31:F31"/>
    <mergeCell ref="B19:F19"/>
    <mergeCell ref="D10:G10"/>
    <mergeCell ref="D11:F11"/>
    <mergeCell ref="G16:I16"/>
    <mergeCell ref="K16:L16"/>
    <mergeCell ref="B18:F18"/>
  </mergeCells>
  <conditionalFormatting sqref="F13">
    <cfRule type="containsText" dxfId="35" priority="6" operator="containsText" text="Erreur !">
      <formula>NOT(ISERROR(SEARCH("Erreur !",F13)))</formula>
    </cfRule>
  </conditionalFormatting>
  <conditionalFormatting sqref="I11">
    <cfRule type="containsText" dxfId="34" priority="5" operator="containsText" text="Province ?">
      <formula>NOT(ISERROR(SEARCH("Province ?",I11)))</formula>
    </cfRule>
  </conditionalFormatting>
  <conditionalFormatting sqref="G66">
    <cfRule type="cellIs" dxfId="33" priority="1" operator="lessThan">
      <formula>0</formula>
    </cfRule>
  </conditionalFormatting>
  <conditionalFormatting sqref="G46">
    <cfRule type="cellIs" dxfId="32" priority="4" operator="equal">
      <formula>0</formula>
    </cfRule>
  </conditionalFormatting>
  <conditionalFormatting sqref="G39">
    <cfRule type="cellIs" dxfId="31" priority="3" operator="lessThan">
      <formula>0</formula>
    </cfRule>
  </conditionalFormatting>
  <conditionalFormatting sqref="G57">
    <cfRule type="cellIs" dxfId="30" priority="2" operator="equal">
      <formula>0</formula>
    </cfRule>
  </conditionalFormatting>
  <dataValidations count="6">
    <dataValidation type="whole" operator="greaterThanOrEqual" allowBlank="1" showInputMessage="1" showErrorMessage="1" errorTitle="Chiffre entiers uniquement" error="Les bataillons sont toujours décomptés en nombre entier positifs dans cette version du Wargame." sqref="G42 G53">
      <formula1>0</formula1>
    </dataValidation>
    <dataValidation type="whole" operator="greaterThanOrEqual" allowBlank="1" showInputMessage="1" showErrorMessage="1" errorTitle="Nombre entier uniquement" error="La trésorerie ne peut avoir qu'une valeur entière supérieure ou égale à 0." sqref="G31 G39:G41 G50 G66">
      <formula1>0</formula1>
    </dataValidation>
    <dataValidation type="whole" errorStyle="warning" operator="greaterThanOrEqual" allowBlank="1" showInputMessage="1" showErrorMessage="1" errorTitle="Nombre entier positif uniquement" error="Les mouvements d'argent doivent être indiqués en nombres positifs (soustraction automatique sur le solde)." sqref="G32:G38 G59:G65">
      <formula1>0</formula1>
    </dataValidation>
    <dataValidation errorStyle="information" allowBlank="1" showInputMessage="1" showErrorMessage="1" sqref="D11:F11"/>
    <dataValidation type="whole" errorStyle="warning" allowBlank="1" showInputMessage="1" showErrorMessage="1" errorTitle="Nombre non valide" error="Veuillez mettre un nombre entier compris entre 0 et le maximum de villes que vous pouvez alimenter en ressources." sqref="I12">
      <formula1>0</formula1>
      <formula2>I13</formula2>
    </dataValidation>
    <dataValidation type="whole" errorStyle="warning" operator="greaterThanOrEqual" allowBlank="1" showInputMessage="1" showErrorMessage="1" errorTitle="Nombre entier uniquement" error="Les stocks et variations de marchandises s'expriment uniquement en nombre entiers supérieurs ou égal à 0. Merci." sqref="K22 H21:L21 G18:L20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errorStyle="information" allowBlank="1" showInputMessage="1" showErrorMessage="1" errorTitle="Trop ou pas assez de nourriture" error="• Vous ne possèdez pas cette quantité de nourriture._x000a_• Ou vos soldats sont déjà intégralement payés avec autant de nourriture. Inutile de leur donner plus que le maximum demandé.">
          <x14:formula1>
            <xm:f>0</xm:f>
          </x14:formula1>
          <x14:formula2>
            <xm:f>Ressources!P164</xm:f>
          </x14:formula2>
          <xm:sqref>G25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9"/>
  <sheetViews>
    <sheetView workbookViewId="0">
      <selection activeCell="G25" sqref="G25"/>
    </sheetView>
  </sheetViews>
  <sheetFormatPr baseColWidth="10" defaultRowHeight="15" x14ac:dyDescent="0.25"/>
  <cols>
    <col min="1" max="1" width="1.42578125" customWidth="1"/>
    <col min="5" max="5" width="2.85546875" customWidth="1"/>
    <col min="6" max="6" width="8.5703125" customWidth="1"/>
    <col min="7" max="12" width="10.7109375" customWidth="1"/>
  </cols>
  <sheetData>
    <row r="1" spans="2:12" ht="18.75" x14ac:dyDescent="0.3">
      <c r="B1" s="208" t="s">
        <v>282</v>
      </c>
    </row>
    <row r="2" spans="2:12" x14ac:dyDescent="0.25">
      <c r="B2" s="186"/>
    </row>
    <row r="3" spans="2:12" x14ac:dyDescent="0.25">
      <c r="B3" t="s">
        <v>275</v>
      </c>
    </row>
    <row r="4" spans="2:12" x14ac:dyDescent="0.25">
      <c r="B4" t="s">
        <v>295</v>
      </c>
    </row>
    <row r="5" spans="2:12" x14ac:dyDescent="0.25">
      <c r="B5" t="s">
        <v>273</v>
      </c>
    </row>
    <row r="6" spans="2:12" x14ac:dyDescent="0.25">
      <c r="B6" t="s">
        <v>274</v>
      </c>
    </row>
    <row r="7" spans="2:12" x14ac:dyDescent="0.25">
      <c r="B7" t="s">
        <v>296</v>
      </c>
    </row>
    <row r="9" spans="2:12" ht="15.75" x14ac:dyDescent="0.25">
      <c r="B9" s="125" t="s">
        <v>202</v>
      </c>
    </row>
    <row r="10" spans="2:12" x14ac:dyDescent="0.25">
      <c r="B10" s="8" t="s">
        <v>92</v>
      </c>
      <c r="D10" s="292" t="s">
        <v>52</v>
      </c>
      <c r="E10" s="293"/>
      <c r="F10" s="293"/>
      <c r="G10" s="294"/>
      <c r="J10" s="126" t="s">
        <v>277</v>
      </c>
    </row>
    <row r="11" spans="2:12" x14ac:dyDescent="0.25">
      <c r="B11" t="s">
        <v>93</v>
      </c>
      <c r="D11" s="274" t="str">
        <f>Ressources!G7</f>
        <v>4E 217</v>
      </c>
      <c r="E11" s="275"/>
      <c r="F11" s="276"/>
      <c r="H11" s="142" t="s">
        <v>255</v>
      </c>
      <c r="I11" s="83">
        <f>Ressources!H176</f>
        <v>8</v>
      </c>
      <c r="J11" s="12"/>
    </row>
    <row r="12" spans="2:12" x14ac:dyDescent="0.25">
      <c r="H12" s="154" t="s">
        <v>257</v>
      </c>
      <c r="I12" s="82">
        <v>7</v>
      </c>
      <c r="J12" s="126" t="s">
        <v>266</v>
      </c>
      <c r="K12" s="8"/>
    </row>
    <row r="13" spans="2:12" x14ac:dyDescent="0.25">
      <c r="D13" s="142" t="s">
        <v>182</v>
      </c>
      <c r="E13" s="130" t="s">
        <v>181</v>
      </c>
      <c r="F13" s="131">
        <f>IF(I11&lt;I12,"Erreur !",I12*2.5/I11)</f>
        <v>2.1875</v>
      </c>
      <c r="H13" s="142" t="s">
        <v>180</v>
      </c>
      <c r="I13" s="117">
        <f>F79</f>
        <v>8</v>
      </c>
      <c r="J13" t="s">
        <v>256</v>
      </c>
    </row>
    <row r="15" spans="2:12" ht="15.75" x14ac:dyDescent="0.25">
      <c r="B15" s="125" t="s">
        <v>323</v>
      </c>
    </row>
    <row r="16" spans="2:12" x14ac:dyDescent="0.25">
      <c r="G16" s="220" t="s">
        <v>233</v>
      </c>
      <c r="H16" s="225"/>
      <c r="I16" s="226"/>
      <c r="J16" s="147">
        <f>Ressources!O11</f>
        <v>250</v>
      </c>
      <c r="K16" s="220" t="s">
        <v>234</v>
      </c>
      <c r="L16" s="226"/>
    </row>
    <row r="17" spans="2:12" x14ac:dyDescent="0.25">
      <c r="B17" s="13"/>
      <c r="G17" s="180" t="s">
        <v>7</v>
      </c>
      <c r="H17" s="180" t="s">
        <v>8</v>
      </c>
      <c r="I17" s="140" t="s">
        <v>9</v>
      </c>
      <c r="J17" s="140" t="s">
        <v>169</v>
      </c>
      <c r="K17" s="140" t="s">
        <v>170</v>
      </c>
      <c r="L17" s="140" t="s">
        <v>84</v>
      </c>
    </row>
    <row r="18" spans="2:12" x14ac:dyDescent="0.25">
      <c r="B18" s="235" t="s">
        <v>210</v>
      </c>
      <c r="C18" s="235"/>
      <c r="D18" s="235"/>
      <c r="E18" s="235"/>
      <c r="F18" s="235"/>
      <c r="G18" s="177">
        <v>7</v>
      </c>
      <c r="H18" s="177">
        <v>7</v>
      </c>
      <c r="I18" s="128">
        <v>7</v>
      </c>
      <c r="J18" s="128">
        <v>7</v>
      </c>
      <c r="K18" s="128">
        <v>7</v>
      </c>
      <c r="L18" s="128">
        <v>7</v>
      </c>
    </row>
    <row r="19" spans="2:12" x14ac:dyDescent="0.25">
      <c r="B19" s="219" t="s">
        <v>208</v>
      </c>
      <c r="C19" s="219"/>
      <c r="D19" s="219"/>
      <c r="E19" s="219"/>
      <c r="F19" s="219"/>
      <c r="G19" s="184">
        <v>107</v>
      </c>
      <c r="H19" s="184">
        <v>107</v>
      </c>
      <c r="I19" s="107">
        <v>107</v>
      </c>
      <c r="J19" s="107">
        <v>107</v>
      </c>
      <c r="K19" s="107">
        <v>207</v>
      </c>
      <c r="L19" s="107">
        <v>107</v>
      </c>
    </row>
    <row r="20" spans="2:12" x14ac:dyDescent="0.25">
      <c r="B20" s="219" t="s">
        <v>209</v>
      </c>
      <c r="C20" s="219"/>
      <c r="D20" s="219"/>
      <c r="E20" s="219"/>
      <c r="F20" s="219"/>
      <c r="G20" s="181">
        <v>17</v>
      </c>
      <c r="H20" s="181">
        <v>17</v>
      </c>
      <c r="I20" s="108">
        <v>17</v>
      </c>
      <c r="J20" s="108">
        <v>17</v>
      </c>
      <c r="K20" s="108">
        <v>17</v>
      </c>
      <c r="L20" s="108">
        <v>17</v>
      </c>
    </row>
    <row r="21" spans="2:12" x14ac:dyDescent="0.25">
      <c r="B21" s="219" t="s">
        <v>190</v>
      </c>
      <c r="C21" s="219"/>
      <c r="D21" s="219"/>
      <c r="E21" s="219"/>
      <c r="F21" s="219"/>
      <c r="G21" s="182"/>
      <c r="H21" s="181">
        <v>27</v>
      </c>
      <c r="I21" s="108">
        <v>27</v>
      </c>
      <c r="J21" s="108">
        <v>27</v>
      </c>
      <c r="K21" s="108">
        <v>27</v>
      </c>
      <c r="L21" s="108">
        <v>27</v>
      </c>
    </row>
    <row r="22" spans="2:12" x14ac:dyDescent="0.25">
      <c r="B22" s="219" t="s">
        <v>194</v>
      </c>
      <c r="C22" s="219"/>
      <c r="D22" s="219"/>
      <c r="E22" s="219"/>
      <c r="F22" s="219"/>
      <c r="G22" s="220"/>
      <c r="H22" s="225"/>
      <c r="I22" s="225"/>
      <c r="J22" s="226"/>
      <c r="K22" s="108">
        <v>37</v>
      </c>
      <c r="L22" s="96"/>
    </row>
    <row r="23" spans="2:12" x14ac:dyDescent="0.25">
      <c r="B23" s="219" t="s">
        <v>193</v>
      </c>
      <c r="C23" s="219"/>
      <c r="D23" s="219"/>
      <c r="E23" s="219"/>
      <c r="F23" s="219"/>
      <c r="G23" s="200">
        <f>G18+G19-G20</f>
        <v>97</v>
      </c>
      <c r="H23" s="200">
        <f>H18+H19-H20-H21</f>
        <v>70</v>
      </c>
      <c r="I23" s="111">
        <f>I18+I19-I20-I21</f>
        <v>70</v>
      </c>
      <c r="J23" s="111">
        <f>J18+J19-J20-J21</f>
        <v>70</v>
      </c>
      <c r="K23" s="111">
        <f>K18+K19-K20-K21-K22</f>
        <v>133</v>
      </c>
      <c r="L23" s="111">
        <f>L18+L19-L20-L21-L22</f>
        <v>70</v>
      </c>
    </row>
    <row r="24" spans="2:12" x14ac:dyDescent="0.25">
      <c r="B24" s="219" t="s">
        <v>218</v>
      </c>
      <c r="C24" s="219"/>
      <c r="D24" s="219"/>
      <c r="E24" s="219"/>
      <c r="F24" s="219"/>
      <c r="G24" s="198">
        <f>3*$I12</f>
        <v>21</v>
      </c>
      <c r="H24" s="198">
        <f t="shared" ref="H24:L24" si="0">3*$I12</f>
        <v>21</v>
      </c>
      <c r="I24" s="198">
        <f t="shared" si="0"/>
        <v>21</v>
      </c>
      <c r="J24" s="198">
        <f t="shared" si="0"/>
        <v>21</v>
      </c>
      <c r="K24" s="198">
        <f t="shared" si="0"/>
        <v>21</v>
      </c>
      <c r="L24" s="110">
        <f t="shared" si="0"/>
        <v>21</v>
      </c>
    </row>
    <row r="25" spans="2:12" x14ac:dyDescent="0.25">
      <c r="B25" s="219" t="s">
        <v>128</v>
      </c>
      <c r="C25" s="219"/>
      <c r="D25" s="219"/>
      <c r="E25" s="219"/>
      <c r="F25" s="219"/>
      <c r="G25" s="181">
        <v>60</v>
      </c>
      <c r="H25" s="213" t="s">
        <v>196</v>
      </c>
      <c r="I25" s="118">
        <f>Ressources!M20</f>
        <v>60</v>
      </c>
      <c r="J25" s="115" t="s">
        <v>135</v>
      </c>
      <c r="K25" s="119"/>
      <c r="L25" s="85"/>
    </row>
    <row r="26" spans="2:12" x14ac:dyDescent="0.25">
      <c r="B26" s="219" t="s">
        <v>129</v>
      </c>
      <c r="C26" s="219"/>
      <c r="D26" s="219"/>
      <c r="E26" s="219"/>
      <c r="F26" s="219"/>
      <c r="G26" s="214">
        <f>Ressources!J21</f>
        <v>64</v>
      </c>
      <c r="H26" s="214">
        <f>Ressources!L21</f>
        <v>28</v>
      </c>
      <c r="I26" s="109">
        <f>Ressources!N21</f>
        <v>32</v>
      </c>
      <c r="J26" s="109">
        <f>Ressources!O21</f>
        <v>0</v>
      </c>
      <c r="K26" s="109">
        <f>Ressources!P21</f>
        <v>24</v>
      </c>
      <c r="L26" s="109">
        <f>Ressources!Q21</f>
        <v>12</v>
      </c>
    </row>
    <row r="27" spans="2:12" x14ac:dyDescent="0.25">
      <c r="B27" s="219" t="s">
        <v>235</v>
      </c>
      <c r="C27" s="219"/>
      <c r="D27" s="219"/>
      <c r="E27" s="219"/>
      <c r="F27" s="219"/>
      <c r="G27" s="198">
        <f>IF(G23-G24+G26-G25&gt;$J16,G23-G24+G26-G25-$J16,0)</f>
        <v>0</v>
      </c>
      <c r="H27" s="198">
        <f>IF(H23-H24+H26&gt;$J16,H23-H24+H26-$J16,0)</f>
        <v>0</v>
      </c>
      <c r="I27" s="110">
        <f>IF(I23-I24+I26&gt;$J16,I23-I24+I26-$J16,0)</f>
        <v>0</v>
      </c>
      <c r="J27" s="110">
        <f>IF(J23-J24+J26&gt;$J16,J23-J24+J26-$J16,0)</f>
        <v>0</v>
      </c>
      <c r="K27" s="110">
        <f>IF(K23-K24+K26&gt;$J16,K23-K24+K26-$J16,0)</f>
        <v>0</v>
      </c>
      <c r="L27" s="110">
        <f>IF(L23-L24+L26&gt;$J16,L23-L24+L26-$J16,0)</f>
        <v>0</v>
      </c>
    </row>
    <row r="28" spans="2:12" x14ac:dyDescent="0.25">
      <c r="B28" s="235" t="s">
        <v>217</v>
      </c>
      <c r="C28" s="235"/>
      <c r="D28" s="235"/>
      <c r="E28" s="235"/>
      <c r="F28" s="235"/>
      <c r="G28" s="199">
        <f>G23-G24+G26-G25-G27</f>
        <v>80</v>
      </c>
      <c r="H28" s="199">
        <f>H23-H24+H26-H27</f>
        <v>77</v>
      </c>
      <c r="I28" s="129">
        <f>I23-I24+I26-I27</f>
        <v>81</v>
      </c>
      <c r="J28" s="129">
        <f>J23-J24+J26-J27</f>
        <v>49</v>
      </c>
      <c r="K28" s="129">
        <f>K23-K24+K26-K27</f>
        <v>136</v>
      </c>
      <c r="L28" s="129">
        <f>L23-L24+L26-L27</f>
        <v>61</v>
      </c>
    </row>
    <row r="30" spans="2:12" ht="15.75" x14ac:dyDescent="0.25">
      <c r="B30" s="146" t="str">
        <f>Ressources!C25</f>
        <v>Historique des finances du 1er Primétoile de l'année précédente au 1er Primétoile de l'année 4E 217 :</v>
      </c>
    </row>
    <row r="31" spans="2:12" x14ac:dyDescent="0.25">
      <c r="B31" s="236" t="s">
        <v>232</v>
      </c>
      <c r="C31" s="266"/>
      <c r="D31" s="266"/>
      <c r="E31" s="266"/>
      <c r="F31" s="267"/>
      <c r="G31" s="135">
        <v>204000</v>
      </c>
      <c r="H31" s="149" t="s">
        <v>131</v>
      </c>
    </row>
    <row r="32" spans="2:12" x14ac:dyDescent="0.25">
      <c r="B32" s="220" t="s">
        <v>241</v>
      </c>
      <c r="C32" s="225"/>
      <c r="D32" s="225"/>
      <c r="E32" s="225"/>
      <c r="F32" s="226"/>
      <c r="G32" s="136">
        <v>0</v>
      </c>
      <c r="H32" s="150" t="s">
        <v>131</v>
      </c>
    </row>
    <row r="33" spans="2:8" x14ac:dyDescent="0.25">
      <c r="B33" s="220" t="s">
        <v>240</v>
      </c>
      <c r="C33" s="225"/>
      <c r="D33" s="225"/>
      <c r="E33" s="225"/>
      <c r="F33" s="226"/>
      <c r="G33" s="136">
        <v>0</v>
      </c>
      <c r="H33" s="150" t="s">
        <v>131</v>
      </c>
    </row>
    <row r="34" spans="2:8" x14ac:dyDescent="0.25">
      <c r="B34" s="220" t="s">
        <v>239</v>
      </c>
      <c r="C34" s="225"/>
      <c r="D34" s="225"/>
      <c r="E34" s="225"/>
      <c r="F34" s="226"/>
      <c r="G34" s="136">
        <v>0</v>
      </c>
      <c r="H34" s="150" t="s">
        <v>131</v>
      </c>
    </row>
    <row r="35" spans="2:8" x14ac:dyDescent="0.25">
      <c r="B35" s="220" t="s">
        <v>238</v>
      </c>
      <c r="C35" s="225"/>
      <c r="D35" s="225"/>
      <c r="E35" s="225"/>
      <c r="F35" s="226"/>
      <c r="G35" s="137">
        <v>0</v>
      </c>
      <c r="H35" s="150" t="s">
        <v>131</v>
      </c>
    </row>
    <row r="36" spans="2:8" x14ac:dyDescent="0.25">
      <c r="B36" s="220" t="s">
        <v>229</v>
      </c>
      <c r="C36" s="225"/>
      <c r="D36" s="225"/>
      <c r="E36" s="225"/>
      <c r="F36" s="226"/>
      <c r="G36" s="137">
        <v>0</v>
      </c>
      <c r="H36" s="150" t="s">
        <v>131</v>
      </c>
    </row>
    <row r="37" spans="2:8" x14ac:dyDescent="0.25">
      <c r="B37" s="220" t="s">
        <v>219</v>
      </c>
      <c r="C37" s="225"/>
      <c r="D37" s="225"/>
      <c r="E37" s="225"/>
      <c r="F37" s="226"/>
      <c r="G37" s="137">
        <v>160000</v>
      </c>
      <c r="H37" s="150" t="s">
        <v>131</v>
      </c>
    </row>
    <row r="38" spans="2:8" x14ac:dyDescent="0.25">
      <c r="B38" s="220" t="s">
        <v>220</v>
      </c>
      <c r="C38" s="225"/>
      <c r="D38" s="225"/>
      <c r="E38" s="225"/>
      <c r="F38" s="226"/>
      <c r="G38" s="137">
        <v>0</v>
      </c>
      <c r="H38" s="150" t="s">
        <v>131</v>
      </c>
    </row>
    <row r="39" spans="2:8" x14ac:dyDescent="0.25">
      <c r="B39" s="236" t="s">
        <v>143</v>
      </c>
      <c r="C39" s="266"/>
      <c r="D39" s="266"/>
      <c r="E39" s="266"/>
      <c r="F39" s="267"/>
      <c r="G39" s="138">
        <f>Ressources!P34</f>
        <v>48750</v>
      </c>
      <c r="H39" s="153" t="s">
        <v>131</v>
      </c>
    </row>
    <row r="40" spans="2:8" x14ac:dyDescent="0.25">
      <c r="B40" s="220" t="s">
        <v>130</v>
      </c>
      <c r="C40" s="225"/>
      <c r="D40" s="225"/>
      <c r="E40" s="225"/>
      <c r="F40" s="226"/>
      <c r="G40" s="132">
        <f>Ressources!P35</f>
        <v>87500</v>
      </c>
      <c r="H40" s="151" t="s">
        <v>131</v>
      </c>
    </row>
    <row r="41" spans="2:8" x14ac:dyDescent="0.25">
      <c r="B41" s="220" t="s">
        <v>236</v>
      </c>
      <c r="C41" s="225"/>
      <c r="D41" s="225"/>
      <c r="E41" s="225"/>
      <c r="F41" s="226"/>
      <c r="G41" s="132">
        <f>TRUNC(G27+H27+I27+J27+K27+L27)*250</f>
        <v>0</v>
      </c>
      <c r="H41" s="151" t="s">
        <v>131</v>
      </c>
    </row>
    <row r="42" spans="2:8" x14ac:dyDescent="0.25">
      <c r="B42" s="220" t="s">
        <v>179</v>
      </c>
      <c r="C42" s="225"/>
      <c r="D42" s="225"/>
      <c r="E42" s="225"/>
      <c r="F42" s="226"/>
      <c r="G42" s="121">
        <v>141</v>
      </c>
      <c r="H42" s="150" t="s">
        <v>191</v>
      </c>
    </row>
    <row r="43" spans="2:8" x14ac:dyDescent="0.25">
      <c r="B43" s="220" t="s">
        <v>132</v>
      </c>
      <c r="C43" s="225"/>
      <c r="D43" s="225"/>
      <c r="E43" s="225"/>
      <c r="F43" s="226"/>
      <c r="G43" s="155">
        <f>G42*200</f>
        <v>28200</v>
      </c>
      <c r="H43" s="151" t="s">
        <v>131</v>
      </c>
    </row>
    <row r="44" spans="2:8" x14ac:dyDescent="0.25">
      <c r="B44" s="220" t="s">
        <v>192</v>
      </c>
      <c r="C44" s="225"/>
      <c r="D44" s="225"/>
      <c r="E44" s="225"/>
      <c r="F44" s="226"/>
      <c r="G44" s="132">
        <f>Ressources!P39</f>
        <v>60000</v>
      </c>
      <c r="H44" s="151" t="s">
        <v>131</v>
      </c>
    </row>
    <row r="45" spans="2:8" x14ac:dyDescent="0.25">
      <c r="B45" s="220" t="s">
        <v>133</v>
      </c>
      <c r="C45" s="225"/>
      <c r="D45" s="225"/>
      <c r="E45" s="225"/>
      <c r="F45" s="226"/>
      <c r="G45" s="156">
        <f>Ressources!P40</f>
        <v>0</v>
      </c>
      <c r="H45" s="151" t="s">
        <v>131</v>
      </c>
    </row>
    <row r="46" spans="2:8" x14ac:dyDescent="0.25">
      <c r="B46" s="220" t="s">
        <v>134</v>
      </c>
      <c r="C46" s="225"/>
      <c r="D46" s="225"/>
      <c r="E46" s="225"/>
      <c r="F46" s="226"/>
      <c r="G46" s="156">
        <f>Ressources!P41</f>
        <v>87500</v>
      </c>
      <c r="H46" s="152" t="s">
        <v>131</v>
      </c>
    </row>
    <row r="47" spans="2:8" x14ac:dyDescent="0.25">
      <c r="B47" s="236" t="s">
        <v>144</v>
      </c>
      <c r="C47" s="266"/>
      <c r="D47" s="266"/>
      <c r="E47" s="266"/>
      <c r="F47" s="267"/>
      <c r="G47" s="138">
        <f>Ressources!P42</f>
        <v>136250</v>
      </c>
      <c r="H47" s="153" t="s">
        <v>131</v>
      </c>
    </row>
    <row r="48" spans="2:8" x14ac:dyDescent="0.25">
      <c r="B48" s="139"/>
      <c r="C48" s="139"/>
      <c r="D48" s="139"/>
      <c r="E48" s="139"/>
      <c r="F48" s="139"/>
    </row>
    <row r="49" spans="2:8" ht="15.75" x14ac:dyDescent="0.25">
      <c r="B49" s="146" t="str">
        <f>Ressources!I44</f>
        <v>Historique des finances de l'année 4E 217 :</v>
      </c>
    </row>
    <row r="50" spans="2:8" x14ac:dyDescent="0.25">
      <c r="B50" s="236" t="s">
        <v>143</v>
      </c>
      <c r="C50" s="266"/>
      <c r="D50" s="266"/>
      <c r="E50" s="266"/>
      <c r="F50" s="267"/>
      <c r="G50" s="135">
        <v>37900</v>
      </c>
      <c r="H50" s="149" t="s">
        <v>131</v>
      </c>
    </row>
    <row r="51" spans="2:8" x14ac:dyDescent="0.25">
      <c r="B51" s="220" t="s">
        <v>130</v>
      </c>
      <c r="C51" s="225"/>
      <c r="D51" s="225"/>
      <c r="E51" s="225"/>
      <c r="F51" s="226"/>
      <c r="G51" s="132">
        <f>Ressources!P46</f>
        <v>87500</v>
      </c>
      <c r="H51" s="151" t="s">
        <v>131</v>
      </c>
    </row>
    <row r="52" spans="2:8" x14ac:dyDescent="0.25">
      <c r="B52" s="220" t="s">
        <v>236</v>
      </c>
      <c r="C52" s="225"/>
      <c r="D52" s="225"/>
      <c r="E52" s="225"/>
      <c r="F52" s="226"/>
      <c r="G52" s="132">
        <f>TRUNC(G27+H27+I27+J27+K27+L27)*250</f>
        <v>0</v>
      </c>
      <c r="H52" s="151" t="s">
        <v>131</v>
      </c>
    </row>
    <row r="53" spans="2:8" x14ac:dyDescent="0.25">
      <c r="B53" s="220" t="s">
        <v>179</v>
      </c>
      <c r="C53" s="225"/>
      <c r="D53" s="225"/>
      <c r="E53" s="225"/>
      <c r="F53" s="226"/>
      <c r="G53" s="121">
        <v>55</v>
      </c>
      <c r="H53" s="150" t="s">
        <v>191</v>
      </c>
    </row>
    <row r="54" spans="2:8" x14ac:dyDescent="0.25">
      <c r="B54" s="220" t="s">
        <v>132</v>
      </c>
      <c r="C54" s="225"/>
      <c r="D54" s="225"/>
      <c r="E54" s="225"/>
      <c r="F54" s="226"/>
      <c r="G54" s="155">
        <f>Ressources!P49</f>
        <v>60000</v>
      </c>
      <c r="H54" s="151" t="s">
        <v>131</v>
      </c>
    </row>
    <row r="55" spans="2:8" x14ac:dyDescent="0.25">
      <c r="B55" s="220" t="s">
        <v>192</v>
      </c>
      <c r="C55" s="225"/>
      <c r="D55" s="225"/>
      <c r="E55" s="225"/>
      <c r="F55" s="226"/>
      <c r="G55" s="132">
        <f>Ressources!P50</f>
        <v>60000</v>
      </c>
      <c r="H55" s="151" t="s">
        <v>131</v>
      </c>
    </row>
    <row r="56" spans="2:8" x14ac:dyDescent="0.25">
      <c r="B56" s="220" t="s">
        <v>133</v>
      </c>
      <c r="C56" s="225"/>
      <c r="D56" s="225"/>
      <c r="E56" s="225"/>
      <c r="F56" s="226"/>
      <c r="G56" s="156">
        <f>Ressources!P51</f>
        <v>0</v>
      </c>
      <c r="H56" s="151" t="s">
        <v>131</v>
      </c>
    </row>
    <row r="57" spans="2:8" x14ac:dyDescent="0.25">
      <c r="B57" s="220" t="s">
        <v>134</v>
      </c>
      <c r="C57" s="225"/>
      <c r="D57" s="225"/>
      <c r="E57" s="225"/>
      <c r="F57" s="226"/>
      <c r="G57" s="156">
        <f>Ressources!P52</f>
        <v>87500</v>
      </c>
      <c r="H57" s="152" t="s">
        <v>131</v>
      </c>
    </row>
    <row r="58" spans="2:8" x14ac:dyDescent="0.25">
      <c r="B58" s="236" t="s">
        <v>144</v>
      </c>
      <c r="C58" s="266"/>
      <c r="D58" s="266"/>
      <c r="E58" s="266"/>
      <c r="F58" s="267"/>
      <c r="G58" s="138">
        <f>Ressources!P53</f>
        <v>125400</v>
      </c>
      <c r="H58" s="153" t="s">
        <v>131</v>
      </c>
    </row>
    <row r="59" spans="2:8" x14ac:dyDescent="0.25">
      <c r="B59" s="220" t="s">
        <v>241</v>
      </c>
      <c r="C59" s="225"/>
      <c r="D59" s="225"/>
      <c r="E59" s="225"/>
      <c r="F59" s="226"/>
      <c r="G59" s="136">
        <v>0</v>
      </c>
      <c r="H59" s="150" t="s">
        <v>131</v>
      </c>
    </row>
    <row r="60" spans="2:8" x14ac:dyDescent="0.25">
      <c r="B60" s="220" t="s">
        <v>240</v>
      </c>
      <c r="C60" s="225"/>
      <c r="D60" s="225"/>
      <c r="E60" s="225"/>
      <c r="F60" s="226"/>
      <c r="G60" s="136">
        <v>0</v>
      </c>
      <c r="H60" s="150" t="s">
        <v>131</v>
      </c>
    </row>
    <row r="61" spans="2:8" x14ac:dyDescent="0.25">
      <c r="B61" s="220" t="s">
        <v>239</v>
      </c>
      <c r="C61" s="225"/>
      <c r="D61" s="225"/>
      <c r="E61" s="225"/>
      <c r="F61" s="226"/>
      <c r="G61" s="136">
        <v>0</v>
      </c>
      <c r="H61" s="150" t="s">
        <v>131</v>
      </c>
    </row>
    <row r="62" spans="2:8" x14ac:dyDescent="0.25">
      <c r="B62" s="220" t="s">
        <v>238</v>
      </c>
      <c r="C62" s="225"/>
      <c r="D62" s="225"/>
      <c r="E62" s="225"/>
      <c r="F62" s="226"/>
      <c r="G62" s="137">
        <v>0</v>
      </c>
      <c r="H62" s="150" t="s">
        <v>131</v>
      </c>
    </row>
    <row r="63" spans="2:8" x14ac:dyDescent="0.25">
      <c r="B63" s="220" t="s">
        <v>229</v>
      </c>
      <c r="C63" s="225"/>
      <c r="D63" s="225"/>
      <c r="E63" s="225"/>
      <c r="F63" s="226"/>
      <c r="G63" s="137">
        <v>0</v>
      </c>
      <c r="H63" s="150" t="s">
        <v>131</v>
      </c>
    </row>
    <row r="64" spans="2:8" x14ac:dyDescent="0.25">
      <c r="B64" s="220" t="s">
        <v>219</v>
      </c>
      <c r="C64" s="225"/>
      <c r="D64" s="225"/>
      <c r="E64" s="225"/>
      <c r="F64" s="226"/>
      <c r="G64" s="137">
        <v>87000</v>
      </c>
      <c r="H64" s="150" t="s">
        <v>131</v>
      </c>
    </row>
    <row r="65" spans="2:13" x14ac:dyDescent="0.25">
      <c r="B65" s="220" t="s">
        <v>220</v>
      </c>
      <c r="C65" s="225"/>
      <c r="D65" s="225"/>
      <c r="E65" s="225"/>
      <c r="F65" s="226"/>
      <c r="G65" s="137">
        <v>0</v>
      </c>
      <c r="H65" s="150" t="s">
        <v>131</v>
      </c>
    </row>
    <row r="66" spans="2:13" x14ac:dyDescent="0.25">
      <c r="B66" s="236" t="s">
        <v>264</v>
      </c>
      <c r="C66" s="266"/>
      <c r="D66" s="266"/>
      <c r="E66" s="266"/>
      <c r="F66" s="267"/>
      <c r="G66" s="138">
        <f>Ressources!P61</f>
        <v>38400</v>
      </c>
      <c r="H66" s="153" t="s">
        <v>131</v>
      </c>
    </row>
    <row r="78" spans="2:13" ht="3.75" customHeight="1" x14ac:dyDescent="0.25">
      <c r="F78" t="s">
        <v>98</v>
      </c>
      <c r="G78" t="s">
        <v>311</v>
      </c>
      <c r="M78" t="s">
        <v>312</v>
      </c>
    </row>
    <row r="79" spans="2:13" ht="3.75" customHeight="1" x14ac:dyDescent="0.25">
      <c r="F79" s="111">
        <f>SMALL(G79:M79,1)</f>
        <v>8</v>
      </c>
      <c r="G79" s="111">
        <f t="shared" ref="G79:K79" si="1">TRUNC((G23/3),0)</f>
        <v>32</v>
      </c>
      <c r="H79" s="111">
        <f t="shared" si="1"/>
        <v>23</v>
      </c>
      <c r="I79" s="111">
        <f>TRUNC((I23/3),0)</f>
        <v>23</v>
      </c>
      <c r="J79" s="111">
        <f t="shared" si="1"/>
        <v>23</v>
      </c>
      <c r="K79" s="111">
        <f t="shared" si="1"/>
        <v>44</v>
      </c>
      <c r="L79" s="111">
        <f>TRUNC((L23/3),0)</f>
        <v>23</v>
      </c>
      <c r="M79" s="111">
        <f>I11</f>
        <v>8</v>
      </c>
    </row>
  </sheetData>
  <mergeCells count="50">
    <mergeCell ref="B65:F65"/>
    <mergeCell ref="B66:F66"/>
    <mergeCell ref="B59:F59"/>
    <mergeCell ref="B60:F60"/>
    <mergeCell ref="B61:F61"/>
    <mergeCell ref="B62:F62"/>
    <mergeCell ref="B63:F63"/>
    <mergeCell ref="B64:F64"/>
    <mergeCell ref="B58:F58"/>
    <mergeCell ref="B45:F45"/>
    <mergeCell ref="B46:F46"/>
    <mergeCell ref="B47:F47"/>
    <mergeCell ref="B50:F50"/>
    <mergeCell ref="B51:F51"/>
    <mergeCell ref="B52:F52"/>
    <mergeCell ref="B53:F53"/>
    <mergeCell ref="B54:F54"/>
    <mergeCell ref="B55:F55"/>
    <mergeCell ref="B56:F56"/>
    <mergeCell ref="B57:F57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0:F20"/>
    <mergeCell ref="B21:F21"/>
    <mergeCell ref="B22:F22"/>
    <mergeCell ref="G22:J22"/>
    <mergeCell ref="B23:F23"/>
    <mergeCell ref="B24:F24"/>
    <mergeCell ref="B25:F25"/>
    <mergeCell ref="B26:F26"/>
    <mergeCell ref="B27:F27"/>
    <mergeCell ref="B28:F28"/>
    <mergeCell ref="B31:F31"/>
    <mergeCell ref="B19:F19"/>
    <mergeCell ref="D10:G10"/>
    <mergeCell ref="D11:F11"/>
    <mergeCell ref="G16:I16"/>
    <mergeCell ref="K16:L16"/>
    <mergeCell ref="B18:F18"/>
  </mergeCells>
  <conditionalFormatting sqref="F13">
    <cfRule type="containsText" dxfId="29" priority="6" operator="containsText" text="Erreur !">
      <formula>NOT(ISERROR(SEARCH("Erreur !",F13)))</formula>
    </cfRule>
  </conditionalFormatting>
  <conditionalFormatting sqref="I11">
    <cfRule type="containsText" dxfId="28" priority="5" operator="containsText" text="Province ?">
      <formula>NOT(ISERROR(SEARCH("Province ?",I11)))</formula>
    </cfRule>
  </conditionalFormatting>
  <conditionalFormatting sqref="G66">
    <cfRule type="cellIs" dxfId="27" priority="1" operator="lessThan">
      <formula>0</formula>
    </cfRule>
  </conditionalFormatting>
  <conditionalFormatting sqref="G46">
    <cfRule type="cellIs" dxfId="26" priority="4" operator="equal">
      <formula>0</formula>
    </cfRule>
  </conditionalFormatting>
  <conditionalFormatting sqref="G39">
    <cfRule type="cellIs" dxfId="25" priority="3" operator="lessThan">
      <formula>0</formula>
    </cfRule>
  </conditionalFormatting>
  <conditionalFormatting sqref="G57">
    <cfRule type="cellIs" dxfId="24" priority="2" operator="equal">
      <formula>0</formula>
    </cfRule>
  </conditionalFormatting>
  <dataValidations count="6">
    <dataValidation type="whole" operator="greaterThanOrEqual" allowBlank="1" showInputMessage="1" showErrorMessage="1" errorTitle="Chiffre entiers uniquement" error="Les bataillons sont toujours décomptés en nombre entier positifs dans cette version du Wargame." sqref="G42 G53">
      <formula1>0</formula1>
    </dataValidation>
    <dataValidation type="whole" operator="greaterThanOrEqual" allowBlank="1" showInputMessage="1" showErrorMessage="1" errorTitle="Nombre entier uniquement" error="La trésorerie ne peut avoir qu'une valeur entière supérieure ou égale à 0." sqref="G31 G39:G41 G50 G66">
      <formula1>0</formula1>
    </dataValidation>
    <dataValidation type="whole" errorStyle="warning" operator="greaterThanOrEqual" allowBlank="1" showInputMessage="1" showErrorMessage="1" errorTitle="Nombre entier positif uniquement" error="Les mouvements d'argent doivent être indiqués en nombres positifs (soustraction automatique sur le solde)." sqref="G32:G38 G59:G65">
      <formula1>0</formula1>
    </dataValidation>
    <dataValidation errorStyle="information" allowBlank="1" showInputMessage="1" showErrorMessage="1" sqref="D11:F11"/>
    <dataValidation type="whole" errorStyle="warning" allowBlank="1" showInputMessage="1" showErrorMessage="1" errorTitle="Nombre non valide" error="Veuillez mettre un nombre entier compris entre 0 et le maximum de villes que vous pouvez alimenter en ressources." sqref="I12">
      <formula1>0</formula1>
      <formula2>I13</formula2>
    </dataValidation>
    <dataValidation type="whole" errorStyle="warning" operator="greaterThanOrEqual" allowBlank="1" showInputMessage="1" showErrorMessage="1" errorTitle="Nombre entier uniquement" error="Les stocks et variations de marchandises s'expriment uniquement en nombre entiers supérieurs ou égal à 0. Merci." sqref="K22 H21:L21 G18:L20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errorStyle="information" allowBlank="1" showInputMessage="1" showErrorMessage="1" errorTitle="Trop ou pas assez de nourriture" error="• Vous ne possèdez pas cette quantité de nourriture._x000a_• Ou vos soldats sont déjà intégralement payés avec autant de nourriture. Inutile de leur donner plus que le maximum demandé.">
          <x14:formula1>
            <xm:f>0</xm:f>
          </x14:formula1>
          <x14:formula2>
            <xm:f>Ressources!P164</xm:f>
          </x14:formula2>
          <xm:sqref>G25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9"/>
  <sheetViews>
    <sheetView workbookViewId="0">
      <selection activeCell="G25" sqref="G25"/>
    </sheetView>
  </sheetViews>
  <sheetFormatPr baseColWidth="10" defaultRowHeight="15" x14ac:dyDescent="0.25"/>
  <cols>
    <col min="1" max="1" width="1.42578125" customWidth="1"/>
    <col min="5" max="5" width="2.85546875" customWidth="1"/>
    <col min="6" max="6" width="8.5703125" customWidth="1"/>
    <col min="7" max="12" width="10.7109375" customWidth="1"/>
  </cols>
  <sheetData>
    <row r="1" spans="2:12" ht="18.75" x14ac:dyDescent="0.3">
      <c r="B1" s="207" t="s">
        <v>281</v>
      </c>
    </row>
    <row r="2" spans="2:12" x14ac:dyDescent="0.25">
      <c r="B2" s="186"/>
    </row>
    <row r="3" spans="2:12" x14ac:dyDescent="0.25">
      <c r="B3" t="s">
        <v>275</v>
      </c>
    </row>
    <row r="4" spans="2:12" x14ac:dyDescent="0.25">
      <c r="B4" t="s">
        <v>293</v>
      </c>
    </row>
    <row r="5" spans="2:12" x14ac:dyDescent="0.25">
      <c r="B5" t="s">
        <v>273</v>
      </c>
    </row>
    <row r="6" spans="2:12" x14ac:dyDescent="0.25">
      <c r="B6" t="s">
        <v>274</v>
      </c>
    </row>
    <row r="7" spans="2:12" x14ac:dyDescent="0.25">
      <c r="B7" t="s">
        <v>294</v>
      </c>
    </row>
    <row r="9" spans="2:12" ht="15.75" x14ac:dyDescent="0.25">
      <c r="B9" s="125" t="s">
        <v>202</v>
      </c>
    </row>
    <row r="10" spans="2:12" x14ac:dyDescent="0.25">
      <c r="B10" s="8" t="s">
        <v>92</v>
      </c>
      <c r="D10" s="295" t="s">
        <v>61</v>
      </c>
      <c r="E10" s="296"/>
      <c r="F10" s="296"/>
      <c r="G10" s="297"/>
      <c r="J10" s="126" t="s">
        <v>277</v>
      </c>
    </row>
    <row r="11" spans="2:12" x14ac:dyDescent="0.25">
      <c r="B11" t="s">
        <v>93</v>
      </c>
      <c r="D11" s="274" t="str">
        <f>Ressources!G7</f>
        <v>4E 217</v>
      </c>
      <c r="E11" s="275"/>
      <c r="F11" s="276"/>
      <c r="H11" s="142" t="s">
        <v>255</v>
      </c>
      <c r="I11" s="83">
        <f>Ressources!H177</f>
        <v>9</v>
      </c>
      <c r="J11" s="12"/>
    </row>
    <row r="12" spans="2:12" x14ac:dyDescent="0.25">
      <c r="H12" s="154" t="s">
        <v>257</v>
      </c>
      <c r="I12" s="82">
        <v>8</v>
      </c>
      <c r="J12" s="126" t="s">
        <v>266</v>
      </c>
      <c r="K12" s="8"/>
    </row>
    <row r="13" spans="2:12" x14ac:dyDescent="0.25">
      <c r="D13" s="142" t="s">
        <v>182</v>
      </c>
      <c r="E13" s="130" t="s">
        <v>181</v>
      </c>
      <c r="F13" s="131">
        <f>IF(I11&lt;I12,"Erreur !",I12*2.5/I11)</f>
        <v>2.2222222222222223</v>
      </c>
      <c r="H13" s="142" t="s">
        <v>180</v>
      </c>
      <c r="I13" s="117">
        <f>F79</f>
        <v>9</v>
      </c>
      <c r="J13" t="s">
        <v>256</v>
      </c>
    </row>
    <row r="15" spans="2:12" ht="15.75" x14ac:dyDescent="0.25">
      <c r="B15" s="125" t="s">
        <v>322</v>
      </c>
    </row>
    <row r="16" spans="2:12" x14ac:dyDescent="0.25">
      <c r="G16" s="220" t="s">
        <v>233</v>
      </c>
      <c r="H16" s="225"/>
      <c r="I16" s="226"/>
      <c r="J16" s="147">
        <f>Ressources!O11</f>
        <v>250</v>
      </c>
      <c r="K16" s="220" t="s">
        <v>234</v>
      </c>
      <c r="L16" s="226"/>
    </row>
    <row r="17" spans="2:12" x14ac:dyDescent="0.25">
      <c r="B17" s="13"/>
      <c r="G17" s="180" t="s">
        <v>7</v>
      </c>
      <c r="H17" s="180" t="s">
        <v>8</v>
      </c>
      <c r="I17" s="140" t="s">
        <v>9</v>
      </c>
      <c r="J17" s="140" t="s">
        <v>169</v>
      </c>
      <c r="K17" s="140" t="s">
        <v>170</v>
      </c>
      <c r="L17" s="140" t="s">
        <v>84</v>
      </c>
    </row>
    <row r="18" spans="2:12" x14ac:dyDescent="0.25">
      <c r="B18" s="235" t="s">
        <v>210</v>
      </c>
      <c r="C18" s="235"/>
      <c r="D18" s="235"/>
      <c r="E18" s="235"/>
      <c r="F18" s="235"/>
      <c r="G18" s="177">
        <v>8</v>
      </c>
      <c r="H18" s="177">
        <v>8</v>
      </c>
      <c r="I18" s="128">
        <v>8</v>
      </c>
      <c r="J18" s="128">
        <v>8</v>
      </c>
      <c r="K18" s="128">
        <v>8</v>
      </c>
      <c r="L18" s="128">
        <v>8</v>
      </c>
    </row>
    <row r="19" spans="2:12" x14ac:dyDescent="0.25">
      <c r="B19" s="219" t="s">
        <v>208</v>
      </c>
      <c r="C19" s="219"/>
      <c r="D19" s="219"/>
      <c r="E19" s="219"/>
      <c r="F19" s="219"/>
      <c r="G19" s="184">
        <v>108</v>
      </c>
      <c r="H19" s="184">
        <v>108</v>
      </c>
      <c r="I19" s="107">
        <v>108</v>
      </c>
      <c r="J19" s="107">
        <v>108</v>
      </c>
      <c r="K19" s="107">
        <v>208</v>
      </c>
      <c r="L19" s="107">
        <v>108</v>
      </c>
    </row>
    <row r="20" spans="2:12" x14ac:dyDescent="0.25">
      <c r="B20" s="219" t="s">
        <v>209</v>
      </c>
      <c r="C20" s="219"/>
      <c r="D20" s="219"/>
      <c r="E20" s="219"/>
      <c r="F20" s="219"/>
      <c r="G20" s="181">
        <v>18</v>
      </c>
      <c r="H20" s="181">
        <v>18</v>
      </c>
      <c r="I20" s="108">
        <v>18</v>
      </c>
      <c r="J20" s="108">
        <v>18</v>
      </c>
      <c r="K20" s="108">
        <v>18</v>
      </c>
      <c r="L20" s="108">
        <v>18</v>
      </c>
    </row>
    <row r="21" spans="2:12" x14ac:dyDescent="0.25">
      <c r="B21" s="219" t="s">
        <v>190</v>
      </c>
      <c r="C21" s="219"/>
      <c r="D21" s="219"/>
      <c r="E21" s="219"/>
      <c r="F21" s="219"/>
      <c r="G21" s="182"/>
      <c r="H21" s="181">
        <v>28</v>
      </c>
      <c r="I21" s="108">
        <v>28</v>
      </c>
      <c r="J21" s="108">
        <v>28</v>
      </c>
      <c r="K21" s="108">
        <v>28</v>
      </c>
      <c r="L21" s="108">
        <v>28</v>
      </c>
    </row>
    <row r="22" spans="2:12" x14ac:dyDescent="0.25">
      <c r="B22" s="219" t="s">
        <v>194</v>
      </c>
      <c r="C22" s="219"/>
      <c r="D22" s="219"/>
      <c r="E22" s="219"/>
      <c r="F22" s="219"/>
      <c r="G22" s="220"/>
      <c r="H22" s="225"/>
      <c r="I22" s="225"/>
      <c r="J22" s="226"/>
      <c r="K22" s="108">
        <v>38</v>
      </c>
      <c r="L22" s="96"/>
    </row>
    <row r="23" spans="2:12" x14ac:dyDescent="0.25">
      <c r="B23" s="219" t="s">
        <v>193</v>
      </c>
      <c r="C23" s="219"/>
      <c r="D23" s="219"/>
      <c r="E23" s="219"/>
      <c r="F23" s="219"/>
      <c r="G23" s="200">
        <f>G18+G19-G20</f>
        <v>98</v>
      </c>
      <c r="H23" s="200">
        <f>H18+H19-H20-H21</f>
        <v>70</v>
      </c>
      <c r="I23" s="111">
        <f>I18+I19-I20-I21</f>
        <v>70</v>
      </c>
      <c r="J23" s="111">
        <f>J18+J19-J20-J21</f>
        <v>70</v>
      </c>
      <c r="K23" s="111">
        <f>K18+K19-K20-K21-K22</f>
        <v>132</v>
      </c>
      <c r="L23" s="111">
        <f>L18+L19-L20-L21-L22</f>
        <v>70</v>
      </c>
    </row>
    <row r="24" spans="2:12" x14ac:dyDescent="0.25">
      <c r="B24" s="219" t="s">
        <v>218</v>
      </c>
      <c r="C24" s="219"/>
      <c r="D24" s="219"/>
      <c r="E24" s="219"/>
      <c r="F24" s="219"/>
      <c r="G24" s="198">
        <f>3*$I12</f>
        <v>24</v>
      </c>
      <c r="H24" s="198">
        <f t="shared" ref="H24:L24" si="0">3*$I12</f>
        <v>24</v>
      </c>
      <c r="I24" s="198">
        <f t="shared" si="0"/>
        <v>24</v>
      </c>
      <c r="J24" s="198">
        <f t="shared" si="0"/>
        <v>24</v>
      </c>
      <c r="K24" s="198">
        <f t="shared" si="0"/>
        <v>24</v>
      </c>
      <c r="L24" s="110">
        <f t="shared" si="0"/>
        <v>24</v>
      </c>
    </row>
    <row r="25" spans="2:12" x14ac:dyDescent="0.25">
      <c r="B25" s="219" t="s">
        <v>128</v>
      </c>
      <c r="C25" s="219"/>
      <c r="D25" s="219"/>
      <c r="E25" s="219"/>
      <c r="F25" s="219"/>
      <c r="G25" s="181">
        <v>60</v>
      </c>
      <c r="H25" s="213" t="s">
        <v>196</v>
      </c>
      <c r="I25" s="118">
        <f>Ressources!M20</f>
        <v>60</v>
      </c>
      <c r="J25" s="115" t="s">
        <v>135</v>
      </c>
      <c r="K25" s="119"/>
      <c r="L25" s="85"/>
    </row>
    <row r="26" spans="2:12" x14ac:dyDescent="0.25">
      <c r="B26" s="219" t="s">
        <v>129</v>
      </c>
      <c r="C26" s="219"/>
      <c r="D26" s="219"/>
      <c r="E26" s="219"/>
      <c r="F26" s="219"/>
      <c r="G26" s="214">
        <f>Ressources!J21</f>
        <v>64</v>
      </c>
      <c r="H26" s="214">
        <f>Ressources!L21</f>
        <v>28</v>
      </c>
      <c r="I26" s="109">
        <f>Ressources!N21</f>
        <v>32</v>
      </c>
      <c r="J26" s="109">
        <f>Ressources!O21</f>
        <v>0</v>
      </c>
      <c r="K26" s="109">
        <f>Ressources!P21</f>
        <v>24</v>
      </c>
      <c r="L26" s="109">
        <f>Ressources!Q21</f>
        <v>12</v>
      </c>
    </row>
    <row r="27" spans="2:12" x14ac:dyDescent="0.25">
      <c r="B27" s="219" t="s">
        <v>235</v>
      </c>
      <c r="C27" s="219"/>
      <c r="D27" s="219"/>
      <c r="E27" s="219"/>
      <c r="F27" s="219"/>
      <c r="G27" s="198">
        <f>IF(G23-G24+G26-G25&gt;$J16,G23-G24+G26-G25-$J16,0)</f>
        <v>0</v>
      </c>
      <c r="H27" s="198">
        <f>IF(H23-H24+H26&gt;$J16,H23-H24+H26-$J16,0)</f>
        <v>0</v>
      </c>
      <c r="I27" s="110">
        <f>IF(I23-I24+I26&gt;$J16,I23-I24+I26-$J16,0)</f>
        <v>0</v>
      </c>
      <c r="J27" s="110">
        <f>IF(J23-J24+J26&gt;$J16,J23-J24+J26-$J16,0)</f>
        <v>0</v>
      </c>
      <c r="K27" s="110">
        <f>IF(K23-K24+K26&gt;$J16,K23-K24+K26-$J16,0)</f>
        <v>0</v>
      </c>
      <c r="L27" s="110">
        <f>IF(L23-L24+L26&gt;$J16,L23-L24+L26-$J16,0)</f>
        <v>0</v>
      </c>
    </row>
    <row r="28" spans="2:12" x14ac:dyDescent="0.25">
      <c r="B28" s="235" t="s">
        <v>217</v>
      </c>
      <c r="C28" s="235"/>
      <c r="D28" s="235"/>
      <c r="E28" s="235"/>
      <c r="F28" s="235"/>
      <c r="G28" s="199">
        <f>G23-G24+G26-G25-G27</f>
        <v>78</v>
      </c>
      <c r="H28" s="199">
        <f>H23-H24+H26-H27</f>
        <v>74</v>
      </c>
      <c r="I28" s="129">
        <f>I23-I24+I26-I27</f>
        <v>78</v>
      </c>
      <c r="J28" s="129">
        <f>J23-J24+J26-J27</f>
        <v>46</v>
      </c>
      <c r="K28" s="129">
        <f>K23-K24+K26-K27</f>
        <v>132</v>
      </c>
      <c r="L28" s="129">
        <f>L23-L24+L26-L27</f>
        <v>58</v>
      </c>
    </row>
    <row r="30" spans="2:12" ht="15.75" x14ac:dyDescent="0.25">
      <c r="B30" s="146" t="str">
        <f>Ressources!C25</f>
        <v>Historique des finances du 1er Primétoile de l'année précédente au 1er Primétoile de l'année 4E 217 :</v>
      </c>
    </row>
    <row r="31" spans="2:12" x14ac:dyDescent="0.25">
      <c r="B31" s="236" t="s">
        <v>232</v>
      </c>
      <c r="C31" s="266"/>
      <c r="D31" s="266"/>
      <c r="E31" s="266"/>
      <c r="F31" s="267"/>
      <c r="G31" s="135">
        <v>204000</v>
      </c>
      <c r="H31" s="149" t="s">
        <v>131</v>
      </c>
    </row>
    <row r="32" spans="2:12" x14ac:dyDescent="0.25">
      <c r="B32" s="220" t="s">
        <v>241</v>
      </c>
      <c r="C32" s="225"/>
      <c r="D32" s="225"/>
      <c r="E32" s="225"/>
      <c r="F32" s="226"/>
      <c r="G32" s="136">
        <v>0</v>
      </c>
      <c r="H32" s="150" t="s">
        <v>131</v>
      </c>
    </row>
    <row r="33" spans="2:8" x14ac:dyDescent="0.25">
      <c r="B33" s="220" t="s">
        <v>240</v>
      </c>
      <c r="C33" s="225"/>
      <c r="D33" s="225"/>
      <c r="E33" s="225"/>
      <c r="F33" s="226"/>
      <c r="G33" s="136">
        <v>0</v>
      </c>
      <c r="H33" s="150" t="s">
        <v>131</v>
      </c>
    </row>
    <row r="34" spans="2:8" x14ac:dyDescent="0.25">
      <c r="B34" s="220" t="s">
        <v>239</v>
      </c>
      <c r="C34" s="225"/>
      <c r="D34" s="225"/>
      <c r="E34" s="225"/>
      <c r="F34" s="226"/>
      <c r="G34" s="136">
        <v>0</v>
      </c>
      <c r="H34" s="150" t="s">
        <v>131</v>
      </c>
    </row>
    <row r="35" spans="2:8" x14ac:dyDescent="0.25">
      <c r="B35" s="220" t="s">
        <v>238</v>
      </c>
      <c r="C35" s="225"/>
      <c r="D35" s="225"/>
      <c r="E35" s="225"/>
      <c r="F35" s="226"/>
      <c r="G35" s="137">
        <v>0</v>
      </c>
      <c r="H35" s="150" t="s">
        <v>131</v>
      </c>
    </row>
    <row r="36" spans="2:8" x14ac:dyDescent="0.25">
      <c r="B36" s="220" t="s">
        <v>229</v>
      </c>
      <c r="C36" s="225"/>
      <c r="D36" s="225"/>
      <c r="E36" s="225"/>
      <c r="F36" s="226"/>
      <c r="G36" s="137">
        <v>0</v>
      </c>
      <c r="H36" s="150" t="s">
        <v>131</v>
      </c>
    </row>
    <row r="37" spans="2:8" x14ac:dyDescent="0.25">
      <c r="B37" s="220" t="s">
        <v>219</v>
      </c>
      <c r="C37" s="225"/>
      <c r="D37" s="225"/>
      <c r="E37" s="225"/>
      <c r="F37" s="226"/>
      <c r="G37" s="137">
        <v>160000</v>
      </c>
      <c r="H37" s="150" t="s">
        <v>131</v>
      </c>
    </row>
    <row r="38" spans="2:8" x14ac:dyDescent="0.25">
      <c r="B38" s="220" t="s">
        <v>220</v>
      </c>
      <c r="C38" s="225"/>
      <c r="D38" s="225"/>
      <c r="E38" s="225"/>
      <c r="F38" s="226"/>
      <c r="G38" s="137">
        <v>0</v>
      </c>
      <c r="H38" s="150" t="s">
        <v>131</v>
      </c>
    </row>
    <row r="39" spans="2:8" x14ac:dyDescent="0.25">
      <c r="B39" s="236" t="s">
        <v>143</v>
      </c>
      <c r="C39" s="266"/>
      <c r="D39" s="266"/>
      <c r="E39" s="266"/>
      <c r="F39" s="267"/>
      <c r="G39" s="138">
        <f>Ressources!P34</f>
        <v>48750</v>
      </c>
      <c r="H39" s="153" t="s">
        <v>131</v>
      </c>
    </row>
    <row r="40" spans="2:8" x14ac:dyDescent="0.25">
      <c r="B40" s="220" t="s">
        <v>130</v>
      </c>
      <c r="C40" s="225"/>
      <c r="D40" s="225"/>
      <c r="E40" s="225"/>
      <c r="F40" s="226"/>
      <c r="G40" s="132">
        <f>Ressources!P35</f>
        <v>87500</v>
      </c>
      <c r="H40" s="151" t="s">
        <v>131</v>
      </c>
    </row>
    <row r="41" spans="2:8" x14ac:dyDescent="0.25">
      <c r="B41" s="220" t="s">
        <v>236</v>
      </c>
      <c r="C41" s="225"/>
      <c r="D41" s="225"/>
      <c r="E41" s="225"/>
      <c r="F41" s="226"/>
      <c r="G41" s="132">
        <f>TRUNC(G27+H27+I27+J27+K27+L27)*250</f>
        <v>0</v>
      </c>
      <c r="H41" s="151" t="s">
        <v>131</v>
      </c>
    </row>
    <row r="42" spans="2:8" x14ac:dyDescent="0.25">
      <c r="B42" s="220" t="s">
        <v>179</v>
      </c>
      <c r="C42" s="225"/>
      <c r="D42" s="225"/>
      <c r="E42" s="225"/>
      <c r="F42" s="226"/>
      <c r="G42" s="121">
        <v>141</v>
      </c>
      <c r="H42" s="150" t="s">
        <v>191</v>
      </c>
    </row>
    <row r="43" spans="2:8" x14ac:dyDescent="0.25">
      <c r="B43" s="220" t="s">
        <v>132</v>
      </c>
      <c r="C43" s="225"/>
      <c r="D43" s="225"/>
      <c r="E43" s="225"/>
      <c r="F43" s="226"/>
      <c r="G43" s="155">
        <f>G42*200</f>
        <v>28200</v>
      </c>
      <c r="H43" s="151" t="s">
        <v>131</v>
      </c>
    </row>
    <row r="44" spans="2:8" x14ac:dyDescent="0.25">
      <c r="B44" s="220" t="s">
        <v>192</v>
      </c>
      <c r="C44" s="225"/>
      <c r="D44" s="225"/>
      <c r="E44" s="225"/>
      <c r="F44" s="226"/>
      <c r="G44" s="132">
        <f>Ressources!P39</f>
        <v>60000</v>
      </c>
      <c r="H44" s="151" t="s">
        <v>131</v>
      </c>
    </row>
    <row r="45" spans="2:8" x14ac:dyDescent="0.25">
      <c r="B45" s="220" t="s">
        <v>133</v>
      </c>
      <c r="C45" s="225"/>
      <c r="D45" s="225"/>
      <c r="E45" s="225"/>
      <c r="F45" s="226"/>
      <c r="G45" s="156">
        <f>Ressources!P40</f>
        <v>0</v>
      </c>
      <c r="H45" s="151" t="s">
        <v>131</v>
      </c>
    </row>
    <row r="46" spans="2:8" x14ac:dyDescent="0.25">
      <c r="B46" s="220" t="s">
        <v>134</v>
      </c>
      <c r="C46" s="225"/>
      <c r="D46" s="225"/>
      <c r="E46" s="225"/>
      <c r="F46" s="226"/>
      <c r="G46" s="156">
        <f>Ressources!P41</f>
        <v>87500</v>
      </c>
      <c r="H46" s="152" t="s">
        <v>131</v>
      </c>
    </row>
    <row r="47" spans="2:8" x14ac:dyDescent="0.25">
      <c r="B47" s="236" t="s">
        <v>144</v>
      </c>
      <c r="C47" s="266"/>
      <c r="D47" s="266"/>
      <c r="E47" s="266"/>
      <c r="F47" s="267"/>
      <c r="G47" s="138">
        <f>Ressources!P42</f>
        <v>136250</v>
      </c>
      <c r="H47" s="153" t="s">
        <v>131</v>
      </c>
    </row>
    <row r="48" spans="2:8" x14ac:dyDescent="0.25">
      <c r="B48" s="139"/>
      <c r="C48" s="139"/>
      <c r="D48" s="139"/>
      <c r="E48" s="139"/>
      <c r="F48" s="139"/>
    </row>
    <row r="49" spans="2:8" ht="15.75" x14ac:dyDescent="0.25">
      <c r="B49" s="146" t="str">
        <f>Ressources!I44</f>
        <v>Historique des finances de l'année 4E 217 :</v>
      </c>
    </row>
    <row r="50" spans="2:8" x14ac:dyDescent="0.25">
      <c r="B50" s="236" t="s">
        <v>143</v>
      </c>
      <c r="C50" s="266"/>
      <c r="D50" s="266"/>
      <c r="E50" s="266"/>
      <c r="F50" s="267"/>
      <c r="G50" s="135">
        <v>37900</v>
      </c>
      <c r="H50" s="149" t="s">
        <v>131</v>
      </c>
    </row>
    <row r="51" spans="2:8" x14ac:dyDescent="0.25">
      <c r="B51" s="220" t="s">
        <v>130</v>
      </c>
      <c r="C51" s="225"/>
      <c r="D51" s="225"/>
      <c r="E51" s="225"/>
      <c r="F51" s="226"/>
      <c r="G51" s="132">
        <f>Ressources!P46</f>
        <v>87500</v>
      </c>
      <c r="H51" s="151" t="s">
        <v>131</v>
      </c>
    </row>
    <row r="52" spans="2:8" x14ac:dyDescent="0.25">
      <c r="B52" s="220" t="s">
        <v>236</v>
      </c>
      <c r="C52" s="225"/>
      <c r="D52" s="225"/>
      <c r="E52" s="225"/>
      <c r="F52" s="226"/>
      <c r="G52" s="132">
        <f>TRUNC(G27+H27+I27+J27+K27+L27)*250</f>
        <v>0</v>
      </c>
      <c r="H52" s="151" t="s">
        <v>131</v>
      </c>
    </row>
    <row r="53" spans="2:8" x14ac:dyDescent="0.25">
      <c r="B53" s="220" t="s">
        <v>179</v>
      </c>
      <c r="C53" s="225"/>
      <c r="D53" s="225"/>
      <c r="E53" s="225"/>
      <c r="F53" s="226"/>
      <c r="G53" s="121">
        <v>55</v>
      </c>
      <c r="H53" s="150" t="s">
        <v>191</v>
      </c>
    </row>
    <row r="54" spans="2:8" x14ac:dyDescent="0.25">
      <c r="B54" s="220" t="s">
        <v>132</v>
      </c>
      <c r="C54" s="225"/>
      <c r="D54" s="225"/>
      <c r="E54" s="225"/>
      <c r="F54" s="226"/>
      <c r="G54" s="155">
        <f>Ressources!P49</f>
        <v>60000</v>
      </c>
      <c r="H54" s="151" t="s">
        <v>131</v>
      </c>
    </row>
    <row r="55" spans="2:8" x14ac:dyDescent="0.25">
      <c r="B55" s="220" t="s">
        <v>192</v>
      </c>
      <c r="C55" s="225"/>
      <c r="D55" s="225"/>
      <c r="E55" s="225"/>
      <c r="F55" s="226"/>
      <c r="G55" s="132">
        <f>Ressources!P50</f>
        <v>60000</v>
      </c>
      <c r="H55" s="151" t="s">
        <v>131</v>
      </c>
    </row>
    <row r="56" spans="2:8" x14ac:dyDescent="0.25">
      <c r="B56" s="220" t="s">
        <v>133</v>
      </c>
      <c r="C56" s="225"/>
      <c r="D56" s="225"/>
      <c r="E56" s="225"/>
      <c r="F56" s="226"/>
      <c r="G56" s="156">
        <f>Ressources!P51</f>
        <v>0</v>
      </c>
      <c r="H56" s="151" t="s">
        <v>131</v>
      </c>
    </row>
    <row r="57" spans="2:8" x14ac:dyDescent="0.25">
      <c r="B57" s="220" t="s">
        <v>134</v>
      </c>
      <c r="C57" s="225"/>
      <c r="D57" s="225"/>
      <c r="E57" s="225"/>
      <c r="F57" s="226"/>
      <c r="G57" s="156">
        <f>Ressources!P52</f>
        <v>87500</v>
      </c>
      <c r="H57" s="152" t="s">
        <v>131</v>
      </c>
    </row>
    <row r="58" spans="2:8" x14ac:dyDescent="0.25">
      <c r="B58" s="236" t="s">
        <v>144</v>
      </c>
      <c r="C58" s="266"/>
      <c r="D58" s="266"/>
      <c r="E58" s="266"/>
      <c r="F58" s="267"/>
      <c r="G58" s="138">
        <f>Ressources!P53</f>
        <v>125400</v>
      </c>
      <c r="H58" s="153" t="s">
        <v>131</v>
      </c>
    </row>
    <row r="59" spans="2:8" x14ac:dyDescent="0.25">
      <c r="B59" s="220" t="s">
        <v>241</v>
      </c>
      <c r="C59" s="225"/>
      <c r="D59" s="225"/>
      <c r="E59" s="225"/>
      <c r="F59" s="226"/>
      <c r="G59" s="136">
        <v>0</v>
      </c>
      <c r="H59" s="150" t="s">
        <v>131</v>
      </c>
    </row>
    <row r="60" spans="2:8" x14ac:dyDescent="0.25">
      <c r="B60" s="220" t="s">
        <v>240</v>
      </c>
      <c r="C60" s="225"/>
      <c r="D60" s="225"/>
      <c r="E60" s="225"/>
      <c r="F60" s="226"/>
      <c r="G60" s="136">
        <v>0</v>
      </c>
      <c r="H60" s="150" t="s">
        <v>131</v>
      </c>
    </row>
    <row r="61" spans="2:8" x14ac:dyDescent="0.25">
      <c r="B61" s="220" t="s">
        <v>239</v>
      </c>
      <c r="C61" s="225"/>
      <c r="D61" s="225"/>
      <c r="E61" s="225"/>
      <c r="F61" s="226"/>
      <c r="G61" s="136">
        <v>0</v>
      </c>
      <c r="H61" s="150" t="s">
        <v>131</v>
      </c>
    </row>
    <row r="62" spans="2:8" x14ac:dyDescent="0.25">
      <c r="B62" s="220" t="s">
        <v>238</v>
      </c>
      <c r="C62" s="225"/>
      <c r="D62" s="225"/>
      <c r="E62" s="225"/>
      <c r="F62" s="226"/>
      <c r="G62" s="137">
        <v>0</v>
      </c>
      <c r="H62" s="150" t="s">
        <v>131</v>
      </c>
    </row>
    <row r="63" spans="2:8" x14ac:dyDescent="0.25">
      <c r="B63" s="220" t="s">
        <v>229</v>
      </c>
      <c r="C63" s="225"/>
      <c r="D63" s="225"/>
      <c r="E63" s="225"/>
      <c r="F63" s="226"/>
      <c r="G63" s="137">
        <v>0</v>
      </c>
      <c r="H63" s="150" t="s">
        <v>131</v>
      </c>
    </row>
    <row r="64" spans="2:8" x14ac:dyDescent="0.25">
      <c r="B64" s="220" t="s">
        <v>219</v>
      </c>
      <c r="C64" s="225"/>
      <c r="D64" s="225"/>
      <c r="E64" s="225"/>
      <c r="F64" s="226"/>
      <c r="G64" s="137">
        <v>87000</v>
      </c>
      <c r="H64" s="150" t="s">
        <v>131</v>
      </c>
    </row>
    <row r="65" spans="2:13" x14ac:dyDescent="0.25">
      <c r="B65" s="220" t="s">
        <v>220</v>
      </c>
      <c r="C65" s="225"/>
      <c r="D65" s="225"/>
      <c r="E65" s="225"/>
      <c r="F65" s="226"/>
      <c r="G65" s="137">
        <v>0</v>
      </c>
      <c r="H65" s="150" t="s">
        <v>131</v>
      </c>
    </row>
    <row r="66" spans="2:13" x14ac:dyDescent="0.25">
      <c r="B66" s="236" t="s">
        <v>264</v>
      </c>
      <c r="C66" s="266"/>
      <c r="D66" s="266"/>
      <c r="E66" s="266"/>
      <c r="F66" s="267"/>
      <c r="G66" s="138">
        <f>Ressources!P61</f>
        <v>38400</v>
      </c>
      <c r="H66" s="153" t="s">
        <v>131</v>
      </c>
    </row>
    <row r="78" spans="2:13" ht="3.75" customHeight="1" x14ac:dyDescent="0.25">
      <c r="F78" t="s">
        <v>98</v>
      </c>
      <c r="G78" t="s">
        <v>311</v>
      </c>
      <c r="M78" t="s">
        <v>312</v>
      </c>
    </row>
    <row r="79" spans="2:13" ht="3.75" customHeight="1" x14ac:dyDescent="0.25">
      <c r="F79" s="111">
        <f>SMALL(G79:M79,1)</f>
        <v>9</v>
      </c>
      <c r="G79" s="111">
        <f t="shared" ref="G79:K79" si="1">TRUNC((G23/3),0)</f>
        <v>32</v>
      </c>
      <c r="H79" s="111">
        <f t="shared" si="1"/>
        <v>23</v>
      </c>
      <c r="I79" s="111">
        <f>TRUNC((I23/3),0)</f>
        <v>23</v>
      </c>
      <c r="J79" s="111">
        <f t="shared" si="1"/>
        <v>23</v>
      </c>
      <c r="K79" s="111">
        <f t="shared" si="1"/>
        <v>44</v>
      </c>
      <c r="L79" s="111">
        <f>TRUNC((L23/3),0)</f>
        <v>23</v>
      </c>
      <c r="M79" s="111">
        <f>I11</f>
        <v>9</v>
      </c>
    </row>
  </sheetData>
  <mergeCells count="50">
    <mergeCell ref="B65:F65"/>
    <mergeCell ref="B66:F66"/>
    <mergeCell ref="B59:F59"/>
    <mergeCell ref="B60:F60"/>
    <mergeCell ref="B61:F61"/>
    <mergeCell ref="B62:F62"/>
    <mergeCell ref="B63:F63"/>
    <mergeCell ref="B64:F64"/>
    <mergeCell ref="B58:F58"/>
    <mergeCell ref="B45:F45"/>
    <mergeCell ref="B46:F46"/>
    <mergeCell ref="B47:F47"/>
    <mergeCell ref="B50:F50"/>
    <mergeCell ref="B51:F51"/>
    <mergeCell ref="B52:F52"/>
    <mergeCell ref="B53:F53"/>
    <mergeCell ref="B54:F54"/>
    <mergeCell ref="B55:F55"/>
    <mergeCell ref="B56:F56"/>
    <mergeCell ref="B57:F57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0:F20"/>
    <mergeCell ref="B21:F21"/>
    <mergeCell ref="B22:F22"/>
    <mergeCell ref="G22:J22"/>
    <mergeCell ref="B23:F23"/>
    <mergeCell ref="B24:F24"/>
    <mergeCell ref="B25:F25"/>
    <mergeCell ref="B26:F26"/>
    <mergeCell ref="B27:F27"/>
    <mergeCell ref="B28:F28"/>
    <mergeCell ref="B31:F31"/>
    <mergeCell ref="B19:F19"/>
    <mergeCell ref="D10:G10"/>
    <mergeCell ref="D11:F11"/>
    <mergeCell ref="G16:I16"/>
    <mergeCell ref="K16:L16"/>
    <mergeCell ref="B18:F18"/>
  </mergeCells>
  <conditionalFormatting sqref="F13">
    <cfRule type="containsText" dxfId="23" priority="6" operator="containsText" text="Erreur !">
      <formula>NOT(ISERROR(SEARCH("Erreur !",F13)))</formula>
    </cfRule>
  </conditionalFormatting>
  <conditionalFormatting sqref="I11">
    <cfRule type="containsText" dxfId="22" priority="5" operator="containsText" text="Province ?">
      <formula>NOT(ISERROR(SEARCH("Province ?",I11)))</formula>
    </cfRule>
  </conditionalFormatting>
  <conditionalFormatting sqref="G66">
    <cfRule type="cellIs" dxfId="21" priority="1" operator="lessThan">
      <formula>0</formula>
    </cfRule>
  </conditionalFormatting>
  <conditionalFormatting sqref="G46">
    <cfRule type="cellIs" dxfId="20" priority="4" operator="equal">
      <formula>0</formula>
    </cfRule>
  </conditionalFormatting>
  <conditionalFormatting sqref="G39">
    <cfRule type="cellIs" dxfId="19" priority="3" operator="lessThan">
      <formula>0</formula>
    </cfRule>
  </conditionalFormatting>
  <conditionalFormatting sqref="G57">
    <cfRule type="cellIs" dxfId="18" priority="2" operator="equal">
      <formula>0</formula>
    </cfRule>
  </conditionalFormatting>
  <dataValidations count="6">
    <dataValidation type="whole" operator="greaterThanOrEqual" allowBlank="1" showInputMessage="1" showErrorMessage="1" errorTitle="Chiffre entiers uniquement" error="Les bataillons sont toujours décomptés en nombre entier positifs dans cette version du Wargame." sqref="G42 G53">
      <formula1>0</formula1>
    </dataValidation>
    <dataValidation type="whole" operator="greaterThanOrEqual" allowBlank="1" showInputMessage="1" showErrorMessage="1" errorTitle="Nombre entier uniquement" error="La trésorerie ne peut avoir qu'une valeur entière supérieure ou égale à 0." sqref="G31 G39:G41 G50 G66">
      <formula1>0</formula1>
    </dataValidation>
    <dataValidation type="whole" errorStyle="warning" operator="greaterThanOrEqual" allowBlank="1" showInputMessage="1" showErrorMessage="1" errorTitle="Nombre entier positif uniquement" error="Les mouvements d'argent doivent être indiqués en nombres positifs (soustraction automatique sur le solde)." sqref="G32:G38 G59:G65">
      <formula1>0</formula1>
    </dataValidation>
    <dataValidation errorStyle="information" allowBlank="1" showInputMessage="1" showErrorMessage="1" sqref="D11:F11"/>
    <dataValidation type="whole" errorStyle="warning" allowBlank="1" showInputMessage="1" showErrorMessage="1" errorTitle="Nombre non valide" error="Veuillez mettre un nombre entier compris entre 0 et le maximum de villes que vous pouvez alimenter en ressources." sqref="I12">
      <formula1>0</formula1>
      <formula2>I13</formula2>
    </dataValidation>
    <dataValidation type="whole" errorStyle="warning" operator="greaterThanOrEqual" allowBlank="1" showInputMessage="1" showErrorMessage="1" errorTitle="Nombre entier uniquement" error="Les stocks et variations de marchandises s'expriment uniquement en nombre entiers supérieurs ou égal à 0. Merci." sqref="K22 H21:L21 G18:L20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errorStyle="information" allowBlank="1" showInputMessage="1" showErrorMessage="1" errorTitle="Trop ou pas assez de nourriture" error="• Vous ne possèdez pas cette quantité de nourriture._x000a_• Ou vos soldats sont déjà intégralement payés avec autant de nourriture. Inutile de leur donner plus que le maximum demandé.">
          <x14:formula1>
            <xm:f>0</xm:f>
          </x14:formula1>
          <x14:formula2>
            <xm:f>Ressources!P164</xm:f>
          </x14:formula2>
          <xm:sqref>G25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Ressources</vt:lpstr>
      <vt:lpstr>Alinor</vt:lpstr>
      <vt:lpstr>Bordeciel</vt:lpstr>
      <vt:lpstr>Cyrodiil</vt:lpstr>
      <vt:lpstr>Elsweyr</vt:lpstr>
      <vt:lpstr>Hauteroche</vt:lpstr>
      <vt:lpstr>Lenclume</vt:lpstr>
      <vt:lpstr>Argonie</vt:lpstr>
      <vt:lpstr>Morrowind</vt:lpstr>
      <vt:lpstr>Orsinium</vt:lpstr>
      <vt:lpstr>Solstheim</vt:lpstr>
      <vt:lpstr>Val-Boisé</vt:lpstr>
      <vt:lpstr>Année</vt:lpstr>
      <vt:lpstr>Malus</vt:lpstr>
      <vt:lpstr>Provinces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Amras Anárion</dc:creator>
  <cp:lastModifiedBy>Amras Anárion</cp:lastModifiedBy>
  <dcterms:created xsi:type="dcterms:W3CDTF">2013-01-14T22:47:47Z</dcterms:created>
  <dcterms:modified xsi:type="dcterms:W3CDTF">2017-04-09T20:47:11Z</dcterms:modified>
</cp:coreProperties>
</file>