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Ressources" sheetId="1" r:id="rId1"/>
  </sheets>
  <definedNames>
    <definedName name="PV">Ressources!$X$20:$X$71</definedName>
  </definedNames>
  <calcPr calcId="145621"/>
</workbook>
</file>

<file path=xl/calcChain.xml><?xml version="1.0" encoding="utf-8"?>
<calcChain xmlns="http://schemas.openxmlformats.org/spreadsheetml/2006/main">
  <c r="R19" i="1" l="1"/>
  <c r="L77" i="1" l="1"/>
  <c r="K75" i="1"/>
  <c r="K56" i="1"/>
  <c r="L55" i="1"/>
  <c r="L140" i="1"/>
  <c r="K140" i="1"/>
  <c r="L139" i="1"/>
  <c r="K139" i="1"/>
  <c r="L138" i="1"/>
  <c r="K138" i="1"/>
  <c r="L119" i="1"/>
  <c r="K119" i="1"/>
  <c r="L118" i="1"/>
  <c r="K118" i="1"/>
  <c r="L117" i="1"/>
  <c r="K117" i="1"/>
  <c r="L98" i="1"/>
  <c r="K98" i="1"/>
  <c r="L97" i="1"/>
  <c r="K97" i="1"/>
  <c r="L96" i="1"/>
  <c r="K96" i="1"/>
  <c r="K77" i="1"/>
  <c r="L76" i="1"/>
  <c r="K76" i="1"/>
  <c r="L75" i="1"/>
  <c r="L56" i="1"/>
  <c r="K55" i="1"/>
  <c r="L54" i="1"/>
  <c r="K54" i="1"/>
  <c r="L35" i="1"/>
  <c r="L34" i="1"/>
  <c r="L33" i="1"/>
  <c r="W33" i="1"/>
  <c r="W32" i="1"/>
  <c r="W31" i="1"/>
  <c r="W30" i="1"/>
  <c r="W29" i="1"/>
  <c r="W28" i="1"/>
  <c r="W27" i="1"/>
  <c r="W26" i="1"/>
  <c r="W25" i="1"/>
  <c r="W24" i="1"/>
  <c r="W23" i="1"/>
  <c r="W22" i="1"/>
  <c r="N85" i="1"/>
  <c r="B85" i="1"/>
  <c r="I85" i="1" s="1"/>
  <c r="B106" i="1"/>
  <c r="I106" i="1" s="1"/>
  <c r="N106" i="1"/>
  <c r="U106" i="1" s="1"/>
  <c r="B127" i="1"/>
  <c r="I127" i="1" s="1"/>
  <c r="N127" i="1"/>
  <c r="S137" i="1"/>
  <c r="U137" i="1" s="1"/>
  <c r="G137" i="1"/>
  <c r="S136" i="1"/>
  <c r="U136" i="1" s="1"/>
  <c r="I136" i="1"/>
  <c r="G136" i="1"/>
  <c r="S135" i="1"/>
  <c r="U135" i="1" s="1"/>
  <c r="G135" i="1"/>
  <c r="S134" i="1"/>
  <c r="U134" i="1" s="1"/>
  <c r="I134" i="1"/>
  <c r="G134" i="1"/>
  <c r="N129" i="1"/>
  <c r="B129" i="1"/>
  <c r="U128" i="1"/>
  <c r="U129" i="1" s="1"/>
  <c r="I128" i="1"/>
  <c r="I137" i="1" s="1"/>
  <c r="S116" i="1"/>
  <c r="G116" i="1"/>
  <c r="I116" i="1" s="1"/>
  <c r="S115" i="1"/>
  <c r="G115" i="1"/>
  <c r="I115" i="1" s="1"/>
  <c r="S114" i="1"/>
  <c r="G114" i="1"/>
  <c r="I114" i="1" s="1"/>
  <c r="S113" i="1"/>
  <c r="G113" i="1"/>
  <c r="I113" i="1" s="1"/>
  <c r="N108" i="1"/>
  <c r="B108" i="1"/>
  <c r="U107" i="1"/>
  <c r="U115" i="1" s="1"/>
  <c r="I107" i="1"/>
  <c r="I108" i="1" s="1"/>
  <c r="S95" i="1"/>
  <c r="U95" i="1" s="1"/>
  <c r="I95" i="1"/>
  <c r="G95" i="1"/>
  <c r="S94" i="1"/>
  <c r="U94" i="1" s="1"/>
  <c r="G94" i="1"/>
  <c r="I94" i="1" s="1"/>
  <c r="S93" i="1"/>
  <c r="U93" i="1" s="1"/>
  <c r="I93" i="1"/>
  <c r="G93" i="1"/>
  <c r="U92" i="1"/>
  <c r="S92" i="1"/>
  <c r="G92" i="1"/>
  <c r="I92" i="1" s="1"/>
  <c r="N87" i="1"/>
  <c r="B87" i="1"/>
  <c r="U86" i="1"/>
  <c r="U87" i="1" s="1"/>
  <c r="I86" i="1"/>
  <c r="I87" i="1" s="1"/>
  <c r="N64" i="1"/>
  <c r="S74" i="1"/>
  <c r="S73" i="1"/>
  <c r="S72" i="1"/>
  <c r="S71" i="1"/>
  <c r="U71" i="1" s="1"/>
  <c r="N66" i="1"/>
  <c r="U65" i="1"/>
  <c r="U66" i="1" s="1"/>
  <c r="B43" i="1"/>
  <c r="B64" i="1"/>
  <c r="B65" i="1" s="1"/>
  <c r="I65" i="1"/>
  <c r="S53" i="1"/>
  <c r="S52" i="1"/>
  <c r="U52" i="1" s="1"/>
  <c r="S51" i="1"/>
  <c r="S50" i="1"/>
  <c r="U50" i="1" s="1"/>
  <c r="G74" i="1"/>
  <c r="G73" i="1"/>
  <c r="G72" i="1"/>
  <c r="G71" i="1"/>
  <c r="B66" i="1"/>
  <c r="N43" i="1"/>
  <c r="S49" i="1" s="1"/>
  <c r="N45" i="1"/>
  <c r="U44" i="1"/>
  <c r="U45" i="1" s="1"/>
  <c r="G53" i="1"/>
  <c r="G52" i="1"/>
  <c r="G51" i="1"/>
  <c r="G50" i="1"/>
  <c r="B45" i="1"/>
  <c r="I44" i="1"/>
  <c r="I45" i="1" s="1"/>
  <c r="N22" i="1"/>
  <c r="B22" i="1"/>
  <c r="U73" i="1" l="1"/>
  <c r="U74" i="1"/>
  <c r="X75" i="1"/>
  <c r="I129" i="1"/>
  <c r="U53" i="1"/>
  <c r="I51" i="1"/>
  <c r="S91" i="1"/>
  <c r="S99" i="1" s="1"/>
  <c r="B107" i="1"/>
  <c r="G112" i="1"/>
  <c r="B122" i="1"/>
  <c r="K112" i="1" s="1"/>
  <c r="N128" i="1"/>
  <c r="N143" i="1" s="1"/>
  <c r="L133" i="1" s="1"/>
  <c r="S133" i="1"/>
  <c r="U85" i="1"/>
  <c r="B86" i="1"/>
  <c r="G91" i="1"/>
  <c r="B101" i="1"/>
  <c r="K91" i="1" s="1"/>
  <c r="N107" i="1"/>
  <c r="N122" i="1" s="1"/>
  <c r="L112" i="1" s="1"/>
  <c r="S112" i="1"/>
  <c r="U114" i="1"/>
  <c r="U116" i="1"/>
  <c r="N86" i="1"/>
  <c r="N101" i="1" s="1"/>
  <c r="L91" i="1" s="1"/>
  <c r="U127" i="1"/>
  <c r="B128" i="1"/>
  <c r="B143" i="1" s="1"/>
  <c r="K133" i="1" s="1"/>
  <c r="G133" i="1"/>
  <c r="U108" i="1"/>
  <c r="U113" i="1"/>
  <c r="I135" i="1"/>
  <c r="U64" i="1"/>
  <c r="U72" i="1"/>
  <c r="S70" i="1"/>
  <c r="N65" i="1"/>
  <c r="N80" i="1" s="1"/>
  <c r="L70" i="1" s="1"/>
  <c r="I66" i="1"/>
  <c r="I71" i="1" s="1"/>
  <c r="I72" i="1"/>
  <c r="U49" i="1"/>
  <c r="U51" i="1"/>
  <c r="I50" i="1"/>
  <c r="I52" i="1"/>
  <c r="I53" i="1"/>
  <c r="B80" i="1"/>
  <c r="K70" i="1" s="1"/>
  <c r="G70" i="1"/>
  <c r="I64" i="1"/>
  <c r="U43" i="1"/>
  <c r="N44" i="1"/>
  <c r="N59" i="1" s="1"/>
  <c r="L49" i="1" s="1"/>
  <c r="G49" i="1"/>
  <c r="I49" i="1" s="1"/>
  <c r="I43" i="1"/>
  <c r="B44" i="1"/>
  <c r="B59" i="1" s="1"/>
  <c r="K49" i="1" s="1"/>
  <c r="S29" i="1"/>
  <c r="U29" i="1" s="1"/>
  <c r="U22" i="1"/>
  <c r="S32" i="1"/>
  <c r="S31" i="1"/>
  <c r="S30" i="1"/>
  <c r="N24" i="1"/>
  <c r="U23" i="1"/>
  <c r="G32" i="1"/>
  <c r="G31" i="1"/>
  <c r="G30" i="1"/>
  <c r="G29" i="1"/>
  <c r="B23" i="1"/>
  <c r="I23" i="1"/>
  <c r="B24" i="1"/>
  <c r="L71" i="1" l="1"/>
  <c r="L74" i="1"/>
  <c r="L73" i="1"/>
  <c r="L72" i="1"/>
  <c r="K116" i="1"/>
  <c r="K115" i="1"/>
  <c r="K114" i="1"/>
  <c r="K113" i="1"/>
  <c r="L116" i="1"/>
  <c r="L114" i="1"/>
  <c r="L115" i="1"/>
  <c r="L113" i="1"/>
  <c r="K94" i="1"/>
  <c r="K93" i="1"/>
  <c r="K92" i="1"/>
  <c r="K95" i="1"/>
  <c r="K71" i="1"/>
  <c r="K73" i="1"/>
  <c r="K74" i="1"/>
  <c r="K72" i="1"/>
  <c r="K137" i="1"/>
  <c r="K134" i="1"/>
  <c r="K136" i="1"/>
  <c r="K135" i="1"/>
  <c r="L94" i="1"/>
  <c r="L92" i="1"/>
  <c r="L93" i="1"/>
  <c r="L95" i="1"/>
  <c r="L134" i="1"/>
  <c r="L136" i="1"/>
  <c r="L137" i="1"/>
  <c r="L135" i="1"/>
  <c r="K51" i="1"/>
  <c r="K50" i="1"/>
  <c r="K53" i="1"/>
  <c r="K52" i="1"/>
  <c r="L53" i="1"/>
  <c r="L52" i="1"/>
  <c r="L51" i="1"/>
  <c r="L50" i="1"/>
  <c r="S100" i="1"/>
  <c r="I29" i="1"/>
  <c r="I24" i="1"/>
  <c r="U32" i="1"/>
  <c r="U24" i="1"/>
  <c r="U91" i="1"/>
  <c r="G121" i="1"/>
  <c r="G100" i="1"/>
  <c r="I133" i="1"/>
  <c r="G142" i="1" s="1"/>
  <c r="G141" i="1"/>
  <c r="G120" i="1"/>
  <c r="I112" i="1"/>
  <c r="G99" i="1"/>
  <c r="I91" i="1"/>
  <c r="S141" i="1"/>
  <c r="U133" i="1"/>
  <c r="S142" i="1" s="1"/>
  <c r="S120" i="1"/>
  <c r="U112" i="1"/>
  <c r="S121" i="1" s="1"/>
  <c r="U70" i="1"/>
  <c r="S79" i="1" s="1"/>
  <c r="S78" i="1"/>
  <c r="I73" i="1"/>
  <c r="I74" i="1"/>
  <c r="I32" i="1"/>
  <c r="I70" i="1"/>
  <c r="G78" i="1"/>
  <c r="G58" i="1"/>
  <c r="U30" i="1"/>
  <c r="B38" i="1"/>
  <c r="U31" i="1"/>
  <c r="I30" i="1"/>
  <c r="I31" i="1"/>
  <c r="S57" i="1"/>
  <c r="G57" i="1"/>
  <c r="S28" i="1"/>
  <c r="U28" i="1" s="1"/>
  <c r="N23" i="1"/>
  <c r="N38" i="1" s="1"/>
  <c r="L28" i="1" s="1"/>
  <c r="I22" i="1"/>
  <c r="G28" i="1"/>
  <c r="I28" i="1" s="1"/>
  <c r="K28" i="1" l="1"/>
  <c r="L12" i="1" s="1"/>
  <c r="K34" i="1"/>
  <c r="C14" i="1" s="1"/>
  <c r="K33" i="1"/>
  <c r="C13" i="1" s="1"/>
  <c r="K35" i="1"/>
  <c r="X76" i="1"/>
  <c r="X77" i="1"/>
  <c r="K29" i="1"/>
  <c r="K32" i="1"/>
  <c r="K31" i="1"/>
  <c r="K30" i="1"/>
  <c r="L29" i="1"/>
  <c r="L31" i="1"/>
  <c r="L30" i="1"/>
  <c r="L32" i="1"/>
  <c r="X74" i="1"/>
  <c r="G79" i="1"/>
  <c r="S58" i="1"/>
  <c r="G37" i="1"/>
  <c r="S36" i="1"/>
  <c r="G36" i="1"/>
  <c r="A13" i="1" l="1"/>
  <c r="O13" i="1"/>
  <c r="S13" i="1" s="1"/>
  <c r="C15" i="1"/>
  <c r="O15" i="1" s="1"/>
  <c r="S15" i="1" s="1"/>
  <c r="X78" i="1"/>
  <c r="K18" i="1" s="1"/>
  <c r="A15" i="1"/>
  <c r="A17" i="1"/>
  <c r="S37" i="1"/>
  <c r="O16" i="1" l="1"/>
  <c r="S16" i="1" s="1"/>
  <c r="O14" i="1"/>
  <c r="S14" i="1" s="1"/>
  <c r="C12" i="1"/>
</calcChain>
</file>

<file path=xl/sharedStrings.xml><?xml version="1.0" encoding="utf-8"?>
<sst xmlns="http://schemas.openxmlformats.org/spreadsheetml/2006/main" count="944" uniqueCount="208">
  <si>
    <t>Impôts de base</t>
  </si>
  <si>
    <t>Bordel / Marché</t>
  </si>
  <si>
    <t>Temple / Banque</t>
  </si>
  <si>
    <t>Comptoir / Auberge</t>
  </si>
  <si>
    <t>Caserne / Centre de recrutement</t>
  </si>
  <si>
    <t>Écurie / Ferme</t>
  </si>
  <si>
    <t>Présent ?</t>
  </si>
  <si>
    <t>Ressources</t>
  </si>
  <si>
    <t>+</t>
  </si>
  <si>
    <t>Théoriques</t>
  </si>
  <si>
    <t>Bâtiment</t>
  </si>
  <si>
    <t>Oui</t>
  </si>
  <si>
    <t>Non</t>
  </si>
  <si>
    <t>-</t>
  </si>
  <si>
    <t>Slots de construction :</t>
  </si>
  <si>
    <t>Type de localité :</t>
  </si>
  <si>
    <t>Nom de la ville n°1 :</t>
  </si>
  <si>
    <t>Liste des localités du Wargame :</t>
  </si>
  <si>
    <t>Cité Impériale</t>
  </si>
  <si>
    <t>Aleswell</t>
  </si>
  <si>
    <t>Porte de Pell</t>
  </si>
  <si>
    <t>Weye</t>
  </si>
  <si>
    <t>Fort Magia</t>
  </si>
  <si>
    <t>Anvil</t>
  </si>
  <si>
    <t>Croix de Brina</t>
  </si>
  <si>
    <t>Sutch</t>
  </si>
  <si>
    <t>Domaine de Drad</t>
  </si>
  <si>
    <t>Niryastare</t>
  </si>
  <si>
    <t>Vilverin</t>
  </si>
  <si>
    <t>Bravil</t>
  </si>
  <si>
    <t>Cropsford</t>
  </si>
  <si>
    <t>Faregyl</t>
  </si>
  <si>
    <t>Fort Nomore</t>
  </si>
  <si>
    <t>Nenalata</t>
  </si>
  <si>
    <t>–– Comté Impérial ––</t>
  </si>
  <si>
    <t>–– Comté d'Anvil ––</t>
  </si>
  <si>
    <t>–– Comté de Bravil ––</t>
  </si>
  <si>
    <t>–– Comté de Bruma ––</t>
  </si>
  <si>
    <t>–– Comté de Cheydinahal ––</t>
  </si>
  <si>
    <t>–– Comté de Chorrol ––</t>
  </si>
  <si>
    <t>–– Comté de Kvatch ––</t>
  </si>
  <si>
    <t>–– Comté de Leyawiin ––</t>
  </si>
  <si>
    <t>–– Comté de Skingrad ––</t>
  </si>
  <si>
    <t>Skingrad</t>
  </si>
  <si>
    <t>Leyawiin</t>
  </si>
  <si>
    <t>Kvatch</t>
  </si>
  <si>
    <t>Chorrol</t>
  </si>
  <si>
    <t>Cheydinhal</t>
  </si>
  <si>
    <t>Bruma</t>
  </si>
  <si>
    <t>–– Châtellerie d'Épervine ––</t>
  </si>
  <si>
    <t>Épervine</t>
  </si>
  <si>
    <t>–– Châtellerie de Faillaise ––</t>
  </si>
  <si>
    <t>Faillaise</t>
  </si>
  <si>
    <t>–– Sultanat de Fort-de-Rive ––</t>
  </si>
  <si>
    <t>Fort-de-Rive</t>
  </si>
  <si>
    <t>–– Sultanat de Rimmen ––</t>
  </si>
  <si>
    <t>Rimmen</t>
  </si>
  <si>
    <t>Fort-Tempête</t>
  </si>
  <si>
    <t>–– Principauté de Gideon ––</t>
  </si>
  <si>
    <t>Gideon</t>
  </si>
  <si>
    <t>–– Sultanat d'Elinhir ––</t>
  </si>
  <si>
    <t>Elinhir</t>
  </si>
  <si>
    <t>–– Sultanat de Rihad ––</t>
  </si>
  <si>
    <t>Rihad</t>
  </si>
  <si>
    <t>Kragenmoor</t>
  </si>
  <si>
    <t>–– Seigneurie de Narsis ––</t>
  </si>
  <si>
    <t>Narsis</t>
  </si>
  <si>
    <t>–– Seigneurie d'Arenthia ––</t>
  </si>
  <si>
    <t>Arenthia</t>
  </si>
  <si>
    <t>–– Seigneurie de Falinesti ––</t>
  </si>
  <si>
    <t>Falinesti</t>
  </si>
  <si>
    <t>Bois de Wulkwasten</t>
  </si>
  <si>
    <t>Cori Silmoor</t>
  </si>
  <si>
    <t>Glenpoint</t>
  </si>
  <si>
    <t>Ebon Ro</t>
  </si>
  <si>
    <t>Fort Thornar</t>
  </si>
  <si>
    <t>Chutepierre</t>
  </si>
  <si>
    <t>Oira Norno</t>
  </si>
  <si>
    <t>Andrethis</t>
  </si>
  <si>
    <t>Chênebourg</t>
  </si>
  <si>
    <t>Deshaan</t>
  </si>
  <si>
    <t>Fort Heimlyn</t>
  </si>
  <si>
    <t>Rivepont</t>
  </si>
  <si>
    <t>Vallé de Karththor</t>
  </si>
  <si>
    <t>Tombepierre</t>
  </si>
  <si>
    <t>Tour de Silgrad</t>
  </si>
  <si>
    <t>Perte-Roche</t>
  </si>
  <si>
    <t>Pongorge</t>
  </si>
  <si>
    <t>Bosquet Rocheux</t>
  </si>
  <si>
    <t>Garde-Roche</t>
  </si>
  <si>
    <t>Alten Corimont</t>
  </si>
  <si>
    <t>Mur de Tenmar</t>
  </si>
  <si>
    <t>Chasse-Crique</t>
  </si>
  <si>
    <t>Pointeroche</t>
  </si>
  <si>
    <t>Garderose</t>
  </si>
  <si>
    <t>Norhall</t>
  </si>
  <si>
    <t>Gardechasse</t>
  </si>
  <si>
    <t>Pierlande</t>
  </si>
  <si>
    <t>Belkarth</t>
  </si>
  <si>
    <t>Vulkneu</t>
  </si>
  <si>
    <t>Lande de Nimbel</t>
  </si>
  <si>
    <t>Piervallée</t>
  </si>
  <si>
    <t>Alabaster</t>
  </si>
  <si>
    <t>Meir Lynmount</t>
  </si>
  <si>
    <t>Darkarn</t>
  </si>
  <si>
    <t>Gardevallée</t>
  </si>
  <si>
    <t>Chemin du Roi</t>
  </si>
  <si>
    <t>Fort Seaplace</t>
  </si>
  <si>
    <t>Bois Tadorn</t>
  </si>
  <si>
    <t>Ferme de Murdiska</t>
  </si>
  <si>
    <t>Fort-Ivar</t>
  </si>
  <si>
    <t>Pierre-de-Shor</t>
  </si>
  <si>
    <t>Cap de Treva</t>
  </si>
  <si>
    <t>Passe de Sombreflot</t>
  </si>
  <si>
    <t>Helgen</t>
  </si>
  <si>
    <t>Tour de Brumaille</t>
  </si>
  <si>
    <t>Fort de Casscorne</t>
  </si>
  <si>
    <t>Gardepins</t>
  </si>
  <si>
    <t>Bord de l'Eau</t>
  </si>
  <si>
    <t>Marche de Blanken</t>
  </si>
  <si>
    <t>Fort-Eaurouge</t>
  </si>
  <si>
    <t>Fort Sangbleu</t>
  </si>
  <si>
    <t>Prieuré des Neuf</t>
  </si>
  <si>
    <t>Roctesson</t>
  </si>
  <si>
    <t>Fort Maindebois</t>
  </si>
  <si>
    <t>Silorn</t>
  </si>
  <si>
    <t>Ferme de Shetcombe</t>
  </si>
  <si>
    <t>Gottshaw</t>
  </si>
  <si>
    <t>Varondo</t>
  </si>
  <si>
    <t>Coupeterre</t>
  </si>
  <si>
    <t>Sancre Tor</t>
  </si>
  <si>
    <t>Ferme d'Odiil</t>
  </si>
  <si>
    <t>Fort Ontus</t>
  </si>
  <si>
    <t>Hame</t>
  </si>
  <si>
    <t>Domaine de Rugdumph</t>
  </si>
  <si>
    <t>Drakelowe</t>
  </si>
  <si>
    <t>Austèrebourg</t>
  </si>
  <si>
    <t>Gardepomme</t>
  </si>
  <si>
    <t>Fort Horunn</t>
  </si>
  <si>
    <t>Temple du Maître des Nuages</t>
  </si>
  <si>
    <t>Sanctuaire de la Phalène Anc.</t>
  </si>
  <si>
    <t>–– Princ. de Fort-Tempête ––</t>
  </si>
  <si>
    <t>–– Seign. de Kragenmoor ––</t>
  </si>
  <si>
    <t>Capitales</t>
  </si>
  <si>
    <t>Villes Majeures</t>
  </si>
  <si>
    <t>Villes Mineures</t>
  </si>
  <si>
    <t>Bourgs</t>
  </si>
  <si>
    <t>Palais / Forteresse (1 seul autorisé / Seigneurie)</t>
  </si>
  <si>
    <t>Nom de la ville n°2 :</t>
  </si>
  <si>
    <t>Structures bâties :</t>
  </si>
  <si>
    <t>Validité bâtiments :</t>
  </si>
  <si>
    <t>PV Murs au Nouvel-an :</t>
  </si>
  <si>
    <t>PV</t>
  </si>
  <si>
    <t>%</t>
  </si>
  <si>
    <t>Pénalité éco si Siège :</t>
  </si>
  <si>
    <t>Pénalité économique :</t>
  </si>
  <si>
    <t>Atelier de Siège / Guilde des Ingénieurs</t>
  </si>
  <si>
    <t>Réels</t>
  </si>
  <si>
    <t xml:space="preserve">Impôts </t>
  </si>
  <si>
    <t>1) Le nom de la ville à raison d'un formulaire distinct par ville. Sélectionnez-la parmi la liste déroulante ou écrivez-la à la main sans faute d'orthographe.</t>
  </si>
  <si>
    <t>septims</t>
  </si>
  <si>
    <t>Ressources théoriques maximum de l'année :</t>
  </si>
  <si>
    <t>Impôts réels à percevoir cette année :</t>
  </si>
  <si>
    <t>Calculateur de Ressources et de bonus militaires V9</t>
  </si>
  <si>
    <t>Bonus de Murs :</t>
  </si>
  <si>
    <t>Total des revenus à toucher :</t>
  </si>
  <si>
    <t>Nombre de Casernes :</t>
  </si>
  <si>
    <t>Nombre d'Écuries :</t>
  </si>
  <si>
    <t>Nombres d'Ateliers de Siège :</t>
  </si>
  <si>
    <t>Votre type de Troupes d'Élite :</t>
  </si>
  <si>
    <t>Pourcentage de réduction sur l'Infanterie :</t>
  </si>
  <si>
    <t>Pourcentage de réduction sur le salaire des troupes :</t>
  </si>
  <si>
    <t>Pourcentage de réduction sur la Cavalerie :</t>
  </si>
  <si>
    <t>Soit…</t>
  </si>
  <si>
    <t>Pourcentage de réduction sur les Engins de Siège :</t>
  </si>
  <si>
    <t>septims le Fantassin</t>
  </si>
  <si>
    <t>septims le Cavalier</t>
  </si>
  <si>
    <t>septims l'Unité de Siège</t>
  </si>
  <si>
    <t>× le salaire normal</t>
  </si>
  <si>
    <r>
      <t xml:space="preserve">3) Précisez par "Oui" ou "Non" (ou via le menu déroulant) si votre ville est en État de Siège, ainsi que les bâtiments </t>
    </r>
    <r>
      <rPr>
        <b/>
        <sz val="11"/>
        <color theme="1"/>
        <rFont val="Calibri"/>
        <family val="2"/>
        <scheme val="minor"/>
      </rPr>
      <t>terminés</t>
    </r>
    <r>
      <rPr>
        <sz val="11"/>
        <color theme="1"/>
        <rFont val="Calibri"/>
        <family val="2"/>
        <scheme val="minor"/>
      </rPr>
      <t xml:space="preserve"> présents. Vu qu'on ne peut construire qu'un bâtiment du même type par localité, c'est forcément 1 ou 0.</t>
    </r>
  </si>
  <si>
    <t>Nom de la ville n°4 :</t>
  </si>
  <si>
    <t>Nom de la ville n°3 :</t>
  </si>
  <si>
    <t>Validation globale :</t>
  </si>
  <si>
    <t>Nom de la ville n°5 :</t>
  </si>
  <si>
    <t>Nom de la ville n°6 :</t>
  </si>
  <si>
    <t>Nom de la ville n°7 :</t>
  </si>
  <si>
    <t>Nom de la ville n°8 :</t>
  </si>
  <si>
    <t>Nom de la ville n°9 :</t>
  </si>
  <si>
    <t>Nom de la ville n°10 :</t>
  </si>
  <si>
    <t>Nom de la ville n°11 :</t>
  </si>
  <si>
    <t>Nom de la ville n°12 :</t>
  </si>
  <si>
    <r>
      <t xml:space="preserve">2) Il y a en tout 12 formulaires. Si vous avez moins de 12 villes (extrêmement probable), </t>
    </r>
    <r>
      <rPr>
        <b/>
        <sz val="11"/>
        <color theme="1"/>
        <rFont val="Calibri"/>
        <family val="2"/>
        <scheme val="minor"/>
      </rPr>
      <t>laissez vide les cases "Nom de la ville" des derniers formulaires</t>
    </r>
    <r>
      <rPr>
        <sz val="11"/>
        <color theme="1"/>
        <rFont val="Calibri"/>
        <family val="2"/>
        <scheme val="minor"/>
      </rPr>
      <t xml:space="preserve"> (message d'info : "Ville non définie !") afin de permettre la validation globale.</t>
    </r>
  </si>
  <si>
    <r>
      <t xml:space="preserve">5) </t>
    </r>
    <r>
      <rPr>
        <b/>
        <sz val="11"/>
        <color theme="1"/>
        <rFont val="Calibri"/>
        <family val="2"/>
        <scheme val="minor"/>
      </rPr>
      <t xml:space="preserve">Une fois les cases jaunes renseignées (les seules que vous aurez à complèter), </t>
    </r>
    <r>
      <rPr>
        <sz val="11"/>
        <color theme="1"/>
        <rFont val="Calibri"/>
        <family val="2"/>
        <scheme val="minor"/>
      </rPr>
      <t>Le formulaire se chargera de vérifier automatiquement la validité de vos données.</t>
    </r>
  </si>
  <si>
    <t>6) Et c'est tout ! Si tout est en ordre, le formulaire vous indiquera alors le type de localité pour chaque ville, la limite de construction, votre bonus de murs, vos réductions militaires, ainsi que le total de vos revenus.</t>
  </si>
  <si>
    <t>4) Indiquez le nombre de PV de vos fortifications via le menu déroulant ou manuellement. Cela va de 0 à 250 et détermine votre pourcentage de pénalité sur vos revenus.</t>
  </si>
  <si>
    <t>Temples possédés :</t>
  </si>
  <si>
    <t>Bordels possédés :</t>
  </si>
  <si>
    <t>Comptoirs possédés :</t>
  </si>
  <si>
    <t>Cavalerie</t>
  </si>
  <si>
    <t>Villes possedées</t>
  </si>
  <si>
    <t>Attention : Ne pas toucher aux cases grises ou à la liste des villes visibles à droite de cet Excel ! De même, certaines cases invisibles sont indispensables à certains tests et calculs. Ne pas les modifier.</t>
  </si>
  <si>
    <t>Pour calculer les revenus de chacune de vos villes, vos réductions militaires et les éventuelles pénalités en cas de guerre, veuillez renseigner…</t>
  </si>
  <si>
    <t>opérationnelles</t>
  </si>
  <si>
    <t>opérationnels</t>
  </si>
  <si>
    <t>Ville en état de Siège ?</t>
  </si>
  <si>
    <t>Total PU Plaine</t>
  </si>
  <si>
    <t>Total PU Siège</t>
  </si>
  <si>
    <t>septims pour les troupes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</si>
</sst>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99"/>
      <name val="Calibri"/>
      <family val="2"/>
      <scheme val="minor"/>
    </font>
    <font>
      <sz val="11"/>
      <color rgb="FF800000"/>
      <name val="Calibri"/>
      <family val="2"/>
      <scheme val="minor"/>
    </font>
    <font>
      <sz val="11"/>
      <color rgb="FF800080"/>
      <name val="Calibri"/>
      <family val="2"/>
      <scheme val="minor"/>
    </font>
    <font>
      <sz val="20"/>
      <color theme="1"/>
      <name val="Calibri"/>
      <family val="2"/>
      <scheme val="minor"/>
    </font>
    <font>
      <sz val="20"/>
      <color rgb="FFC00000"/>
      <name val="Calibri"/>
      <family val="2"/>
      <scheme val="minor"/>
    </font>
    <font>
      <b/>
      <sz val="11"/>
      <color rgb="FF0070C0"/>
      <name val="Calibri"/>
      <family val="2"/>
      <scheme val="minor"/>
    </font>
    <font>
      <b/>
      <sz val="11"/>
      <color rgb="FF4D4D4D"/>
      <name val="Calibri"/>
      <family val="2"/>
      <scheme val="minor"/>
    </font>
    <font>
      <sz val="11"/>
      <color theme="0"/>
      <name val="Calibri"/>
      <family val="2"/>
      <scheme val="minor"/>
    </font>
    <font>
      <b/>
      <sz val="11"/>
      <color rgb="FFFF0000"/>
      <name val="Calibri"/>
      <family val="2"/>
      <scheme val="minor"/>
    </font>
    <font>
      <b/>
      <sz val="11"/>
      <color rgb="FF800080"/>
      <name val="Calibri"/>
      <family val="2"/>
      <scheme val="minor"/>
    </font>
    <font>
      <i/>
      <sz val="11"/>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top style="thin">
        <color auto="1"/>
      </top>
      <bottom/>
      <diagonal/>
    </border>
    <border>
      <left style="hair">
        <color auto="1"/>
      </left>
      <right/>
      <top/>
      <bottom/>
      <diagonal/>
    </border>
    <border>
      <left/>
      <right style="hair">
        <color auto="1"/>
      </right>
      <top style="thin">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s>
  <cellStyleXfs count="1">
    <xf numFmtId="0" fontId="0" fillId="0" borderId="0"/>
  </cellStyleXfs>
  <cellXfs count="122">
    <xf numFmtId="0" fontId="0" fillId="0" borderId="0" xfId="0"/>
    <xf numFmtId="0" fontId="0" fillId="0" borderId="0" xfId="0" applyAlignment="1">
      <alignment horizontal="left"/>
    </xf>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0" fillId="0" borderId="2" xfId="0" applyBorder="1"/>
    <xf numFmtId="0" fontId="0" fillId="0" borderId="3" xfId="0" applyBorder="1"/>
    <xf numFmtId="0" fontId="0" fillId="0" borderId="5"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4" xfId="0" applyBorder="1"/>
    <xf numFmtId="0" fontId="0" fillId="0" borderId="3" xfId="0" applyBorder="1" applyAlignment="1">
      <alignment horizontal="right"/>
    </xf>
    <xf numFmtId="0" fontId="0" fillId="0" borderId="8" xfId="0" applyBorder="1" applyAlignment="1">
      <alignment horizontal="right"/>
    </xf>
    <xf numFmtId="0" fontId="0" fillId="0" borderId="2" xfId="0" applyBorder="1" applyAlignment="1">
      <alignment horizontal="center"/>
    </xf>
    <xf numFmtId="0" fontId="0" fillId="0" borderId="2" xfId="0" applyBorder="1" applyAlignment="1">
      <alignment horizontal="center"/>
    </xf>
    <xf numFmtId="0" fontId="0" fillId="0" borderId="0" xfId="0" applyBorder="1" applyAlignment="1">
      <alignment horizontal="right"/>
    </xf>
    <xf numFmtId="0" fontId="0" fillId="0" borderId="1" xfId="0" applyBorder="1" applyAlignment="1">
      <alignment horizontal="left"/>
    </xf>
    <xf numFmtId="0" fontId="2" fillId="2" borderId="5" xfId="0" applyFont="1" applyFill="1" applyBorder="1" applyAlignment="1">
      <alignment horizontal="center"/>
    </xf>
    <xf numFmtId="0" fontId="0" fillId="2" borderId="6" xfId="0" applyFill="1" applyBorder="1"/>
    <xf numFmtId="0" fontId="0" fillId="3" borderId="3" xfId="0" applyFill="1" applyBorder="1" applyAlignment="1">
      <alignment horizontal="right"/>
    </xf>
    <xf numFmtId="3" fontId="0" fillId="3" borderId="3" xfId="0" applyNumberFormat="1" applyFill="1" applyBorder="1" applyAlignment="1">
      <alignment horizontal="left"/>
    </xf>
    <xf numFmtId="0" fontId="0" fillId="3" borderId="0" xfId="0" applyFill="1" applyBorder="1" applyAlignment="1">
      <alignment horizontal="right"/>
    </xf>
    <xf numFmtId="3" fontId="0" fillId="3" borderId="0" xfId="0" applyNumberFormat="1" applyFill="1" applyBorder="1" applyAlignment="1">
      <alignment horizontal="left"/>
    </xf>
    <xf numFmtId="0" fontId="0" fillId="3" borderId="5" xfId="0" applyFill="1" applyBorder="1"/>
    <xf numFmtId="3" fontId="9" fillId="3" borderId="3" xfId="0" applyNumberFormat="1" applyFont="1" applyFill="1" applyBorder="1" applyAlignment="1">
      <alignment horizontal="left"/>
    </xf>
    <xf numFmtId="3" fontId="8" fillId="3" borderId="8" xfId="0" applyNumberFormat="1" applyFont="1" applyFill="1" applyBorder="1" applyAlignment="1">
      <alignment horizontal="left"/>
    </xf>
    <xf numFmtId="0" fontId="0" fillId="3" borderId="0" xfId="0" applyFill="1" applyBorder="1"/>
    <xf numFmtId="0" fontId="0" fillId="3" borderId="0" xfId="0" applyFill="1" applyBorder="1" applyAlignment="1">
      <alignment horizontal="left"/>
    </xf>
    <xf numFmtId="0" fontId="0" fillId="3" borderId="6" xfId="0" applyFill="1" applyBorder="1"/>
    <xf numFmtId="0" fontId="0" fillId="3" borderId="8" xfId="0" applyFill="1" applyBorder="1" applyAlignment="1">
      <alignment horizontal="left"/>
    </xf>
    <xf numFmtId="0" fontId="0" fillId="3" borderId="9" xfId="0" applyFill="1" applyBorder="1"/>
    <xf numFmtId="0" fontId="0" fillId="3" borderId="5" xfId="0" applyFill="1" applyBorder="1" applyAlignment="1">
      <alignment horizontal="center"/>
    </xf>
    <xf numFmtId="0" fontId="0" fillId="3" borderId="7" xfId="0" applyFill="1" applyBorder="1" applyAlignment="1">
      <alignment horizontal="center"/>
    </xf>
    <xf numFmtId="0" fontId="0" fillId="3" borderId="2" xfId="0" applyFill="1" applyBorder="1" applyAlignment="1">
      <alignment horizontal="center"/>
    </xf>
    <xf numFmtId="0" fontId="0" fillId="2" borderId="4" xfId="0" applyFill="1" applyBorder="1"/>
    <xf numFmtId="0" fontId="9" fillId="3" borderId="3" xfId="0" applyFont="1" applyFill="1" applyBorder="1"/>
    <xf numFmtId="0" fontId="9" fillId="3" borderId="4" xfId="0" applyFont="1" applyFill="1" applyBorder="1"/>
    <xf numFmtId="0" fontId="8" fillId="3" borderId="8" xfId="0" applyFont="1" applyFill="1" applyBorder="1"/>
    <xf numFmtId="0" fontId="8" fillId="3" borderId="9" xfId="0" applyFont="1" applyFill="1" applyBorder="1"/>
    <xf numFmtId="0" fontId="0" fillId="0" borderId="5" xfId="0" applyBorder="1" applyAlignment="1">
      <alignment horizontal="right"/>
    </xf>
    <xf numFmtId="0" fontId="0" fillId="0" borderId="7" xfId="0" applyBorder="1" applyAlignment="1">
      <alignment horizontal="right"/>
    </xf>
    <xf numFmtId="3" fontId="0" fillId="3" borderId="0" xfId="0" applyNumberFormat="1" applyFill="1" applyBorder="1" applyAlignment="1">
      <alignment horizontal="left"/>
    </xf>
    <xf numFmtId="0" fontId="9" fillId="3" borderId="2" xfId="0" applyFont="1" applyFill="1" applyBorder="1" applyAlignment="1">
      <alignment horizontal="right"/>
    </xf>
    <xf numFmtId="0" fontId="8" fillId="3" borderId="7" xfId="0" applyFont="1" applyFill="1" applyBorder="1" applyAlignment="1">
      <alignment horizontal="right"/>
    </xf>
    <xf numFmtId="0" fontId="2" fillId="0" borderId="10" xfId="0" applyFont="1" applyBorder="1" applyAlignment="1">
      <alignment horizontal="right"/>
    </xf>
    <xf numFmtId="0" fontId="0" fillId="3" borderId="13" xfId="0" applyFont="1" applyFill="1" applyBorder="1" applyAlignment="1">
      <alignment horizontal="center"/>
    </xf>
    <xf numFmtId="0" fontId="0" fillId="3" borderId="13" xfId="0" applyFill="1" applyBorder="1" applyAlignment="1">
      <alignment horizontal="center"/>
    </xf>
    <xf numFmtId="0" fontId="2" fillId="2" borderId="14" xfId="0" applyFont="1" applyFill="1" applyBorder="1" applyAlignment="1">
      <alignment horizontal="center"/>
    </xf>
    <xf numFmtId="0" fontId="8" fillId="2" borderId="1" xfId="0" applyFont="1" applyFill="1" applyBorder="1" applyAlignment="1">
      <alignment horizontal="center"/>
    </xf>
    <xf numFmtId="0" fontId="0" fillId="0" borderId="0" xfId="0" applyBorder="1" applyAlignment="1">
      <alignment horizontal="left"/>
    </xf>
    <xf numFmtId="0" fontId="2" fillId="0" borderId="0" xfId="0" applyFont="1" applyBorder="1" applyAlignment="1">
      <alignment horizontal="center"/>
    </xf>
    <xf numFmtId="0" fontId="0" fillId="0" borderId="6"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10" fillId="0" borderId="0" xfId="0" applyFont="1"/>
    <xf numFmtId="0" fontId="12" fillId="0" borderId="0" xfId="0" applyFont="1"/>
    <xf numFmtId="0" fontId="13" fillId="0" borderId="0" xfId="0" applyFont="1"/>
    <xf numFmtId="0" fontId="0" fillId="0" borderId="24" xfId="0" applyBorder="1" applyAlignment="1">
      <alignment horizontal="center"/>
    </xf>
    <xf numFmtId="0" fontId="8" fillId="3" borderId="25" xfId="0" applyFont="1" applyFill="1" applyBorder="1" applyAlignment="1">
      <alignment horizontal="center"/>
    </xf>
    <xf numFmtId="0" fontId="8" fillId="3" borderId="10" xfId="0" applyFont="1" applyFill="1" applyBorder="1" applyAlignment="1">
      <alignment horizontal="center"/>
    </xf>
    <xf numFmtId="0" fontId="0" fillId="0" borderId="12" xfId="0" applyBorder="1" applyAlignment="1">
      <alignment horizontal="center"/>
    </xf>
    <xf numFmtId="0" fontId="2" fillId="3" borderId="3" xfId="0" applyFont="1" applyFill="1" applyBorder="1"/>
    <xf numFmtId="0" fontId="2" fillId="3" borderId="0" xfId="0" applyFont="1" applyFill="1" applyBorder="1"/>
    <xf numFmtId="0" fontId="2" fillId="3" borderId="8" xfId="0" applyFont="1" applyFill="1" applyBorder="1"/>
    <xf numFmtId="0" fontId="2" fillId="3" borderId="3" xfId="0" applyFont="1" applyFill="1" applyBorder="1" applyAlignment="1">
      <alignment horizontal="center"/>
    </xf>
    <xf numFmtId="0" fontId="2" fillId="3" borderId="0" xfId="0" applyFont="1" applyFill="1" applyBorder="1" applyAlignment="1">
      <alignment horizontal="center"/>
    </xf>
    <xf numFmtId="0" fontId="2" fillId="3" borderId="8" xfId="0" applyFont="1" applyFill="1" applyBorder="1" applyAlignment="1">
      <alignment horizontal="center"/>
    </xf>
    <xf numFmtId="0" fontId="0" fillId="0" borderId="31" xfId="0" applyBorder="1"/>
    <xf numFmtId="0" fontId="8" fillId="3" borderId="16" xfId="0" applyFont="1" applyFill="1" applyBorder="1" applyAlignment="1">
      <alignment horizontal="center"/>
    </xf>
    <xf numFmtId="0" fontId="8" fillId="3" borderId="18" xfId="0" applyFont="1" applyFill="1" applyBorder="1" applyAlignment="1">
      <alignment horizontal="center"/>
    </xf>
    <xf numFmtId="3" fontId="8" fillId="3" borderId="15" xfId="0" applyNumberFormat="1" applyFont="1" applyFill="1" applyBorder="1" applyAlignment="1">
      <alignment horizontal="center"/>
    </xf>
    <xf numFmtId="0" fontId="8" fillId="3" borderId="17"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2" fillId="2" borderId="12"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0" fillId="3" borderId="0" xfId="0" applyNumberFormat="1" applyFill="1" applyBorder="1" applyAlignment="1">
      <alignment horizontal="left"/>
    </xf>
    <xf numFmtId="3" fontId="0" fillId="3" borderId="6" xfId="0" applyNumberFormat="1" applyFill="1" applyBorder="1" applyAlignment="1">
      <alignment horizontal="left"/>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3" borderId="0" xfId="0" applyFill="1" applyBorder="1" applyAlignment="1">
      <alignment horizontal="center"/>
    </xf>
    <xf numFmtId="0" fontId="0" fillId="3" borderId="6"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11" fillId="3" borderId="29" xfId="0" applyFont="1" applyFill="1" applyBorder="1" applyAlignment="1">
      <alignment horizontal="center"/>
    </xf>
    <xf numFmtId="0" fontId="11" fillId="3" borderId="27" xfId="0" applyFont="1" applyFill="1" applyBorder="1" applyAlignment="1">
      <alignment horizontal="center"/>
    </xf>
    <xf numFmtId="0" fontId="11" fillId="3" borderId="30" xfId="0" applyFont="1" applyFill="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3" fontId="0" fillId="2" borderId="4" xfId="0" applyNumberFormat="1" applyFill="1" applyBorder="1" applyAlignment="1">
      <alignment horizontal="center"/>
    </xf>
    <xf numFmtId="3" fontId="0" fillId="2" borderId="2" xfId="0" applyNumberFormat="1" applyFill="1" applyBorder="1" applyAlignment="1">
      <alignment horizontal="center"/>
    </xf>
    <xf numFmtId="3" fontId="0" fillId="2" borderId="5" xfId="0" applyNumberFormat="1" applyFill="1" applyBorder="1" applyAlignment="1">
      <alignment horizontal="center"/>
    </xf>
    <xf numFmtId="0" fontId="0" fillId="2" borderId="6" xfId="0" applyFill="1" applyBorder="1" applyAlignment="1">
      <alignment horizontal="center"/>
    </xf>
    <xf numFmtId="3" fontId="0" fillId="3" borderId="32" xfId="0" applyNumberFormat="1" applyFill="1" applyBorder="1" applyAlignment="1">
      <alignment horizontal="center"/>
    </xf>
    <xf numFmtId="3" fontId="0" fillId="3" borderId="33" xfId="0" applyNumberFormat="1"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32" xfId="0" applyFill="1" applyBorder="1" applyAlignment="1">
      <alignment horizontal="center"/>
    </xf>
    <xf numFmtId="0" fontId="0" fillId="0" borderId="34" xfId="0" applyFill="1" applyBorder="1" applyAlignment="1">
      <alignment horizontal="center"/>
    </xf>
    <xf numFmtId="0" fontId="0" fillId="0" borderId="33" xfId="0" applyFill="1" applyBorder="1" applyAlignment="1">
      <alignment horizontal="center"/>
    </xf>
  </cellXfs>
  <cellStyles count="1">
    <cellStyle name="Normal" xfId="0" builtinId="0"/>
  </cellStyles>
  <dxfs count="178">
    <dxf>
      <font>
        <color rgb="FFFF0000"/>
      </font>
    </dxf>
    <dxf>
      <font>
        <color rgb="FFFF0000"/>
      </font>
    </dxf>
    <dxf>
      <font>
        <color rgb="FFFF0000"/>
      </font>
    </dxf>
    <dxf>
      <font>
        <color rgb="FF008000"/>
      </font>
    </dxf>
    <dxf>
      <font>
        <color rgb="FF008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s>
  <tableStyles count="0" defaultTableStyle="TableStyleMedium2" defaultPivotStyle="PivotStyleMedium9"/>
  <colors>
    <mruColors>
      <color rgb="FFFFFFCC"/>
      <color rgb="FF008000"/>
      <color rgb="FF800080"/>
      <color rgb="FFFFFFFF"/>
      <color rgb="FF4D4D4D"/>
      <color rgb="FF800000"/>
      <color rgb="FF000099"/>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tabSelected="1" workbookViewId="0">
      <selection activeCell="X2" sqref="X2"/>
    </sheetView>
  </sheetViews>
  <sheetFormatPr baseColWidth="10" defaultColWidth="9.140625" defaultRowHeight="15" x14ac:dyDescent="0.25"/>
  <cols>
    <col min="1" max="1" width="21.42578125" customWidth="1"/>
    <col min="2" max="2" width="27.42578125" customWidth="1"/>
    <col min="3" max="3" width="2.7109375" customWidth="1"/>
    <col min="4" max="4" width="7.7109375" customWidth="1"/>
    <col min="5" max="6" width="2.5703125" customWidth="1"/>
    <col min="7" max="7" width="9" customWidth="1"/>
    <col min="8" max="8" width="2.28515625" customWidth="1"/>
    <col min="9" max="9" width="5" customWidth="1"/>
    <col min="10" max="10" width="3.28515625" customWidth="1"/>
    <col min="11" max="11" width="8" customWidth="1"/>
    <col min="12" max="12" width="7.28515625" customWidth="1"/>
    <col min="13" max="13" width="22" customWidth="1"/>
    <col min="14" max="14" width="27.5703125" customWidth="1"/>
    <col min="15" max="15" width="2.7109375" customWidth="1"/>
    <col min="16" max="16" width="8.7109375" customWidth="1"/>
    <col min="17" max="17" width="2.5703125" customWidth="1"/>
    <col min="18" max="18" width="2.7109375" customWidth="1"/>
    <col min="19" max="19" width="8.42578125" customWidth="1"/>
    <col min="20" max="20" width="2.140625" customWidth="1"/>
    <col min="21" max="21" width="5" customWidth="1"/>
    <col min="22" max="22" width="3.28515625" customWidth="1"/>
    <col min="23" max="23" width="12.140625" customWidth="1"/>
    <col min="24" max="24" width="8.85546875" customWidth="1"/>
    <col min="25" max="25" width="27.85546875" customWidth="1"/>
    <col min="26" max="26" width="24.85546875" customWidth="1"/>
  </cols>
  <sheetData>
    <row r="1" spans="1:26" ht="26.25" x14ac:dyDescent="0.4">
      <c r="A1" s="8" t="s">
        <v>163</v>
      </c>
      <c r="B1" s="7"/>
      <c r="C1" s="7"/>
      <c r="P1" s="2"/>
      <c r="Y1" t="s">
        <v>17</v>
      </c>
    </row>
    <row r="2" spans="1:26" x14ac:dyDescent="0.25">
      <c r="P2" s="2"/>
    </row>
    <row r="3" spans="1:26" x14ac:dyDescent="0.25">
      <c r="A3" s="64" t="s">
        <v>201</v>
      </c>
      <c r="B3" s="64"/>
      <c r="C3" s="64"/>
      <c r="D3" s="64"/>
      <c r="E3" s="64"/>
      <c r="F3" s="64"/>
      <c r="G3" s="64"/>
      <c r="H3" s="64"/>
      <c r="I3" s="64"/>
      <c r="J3" s="64"/>
      <c r="K3" s="64"/>
      <c r="L3" s="64"/>
      <c r="M3" s="64"/>
      <c r="P3" s="2"/>
      <c r="Y3" s="3" t="s">
        <v>34</v>
      </c>
      <c r="Z3" s="3" t="s">
        <v>143</v>
      </c>
    </row>
    <row r="4" spans="1:26" x14ac:dyDescent="0.25">
      <c r="A4" t="s">
        <v>159</v>
      </c>
      <c r="Y4" s="4" t="s">
        <v>18</v>
      </c>
      <c r="Z4" s="4" t="s">
        <v>18</v>
      </c>
    </row>
    <row r="5" spans="1:26" x14ac:dyDescent="0.25">
      <c r="A5" t="s">
        <v>191</v>
      </c>
      <c r="Y5" s="5" t="s">
        <v>19</v>
      </c>
      <c r="Z5" s="4" t="s">
        <v>70</v>
      </c>
    </row>
    <row r="6" spans="1:26" x14ac:dyDescent="0.25">
      <c r="A6" t="s">
        <v>179</v>
      </c>
      <c r="Y6" s="5" t="s">
        <v>20</v>
      </c>
    </row>
    <row r="7" spans="1:26" x14ac:dyDescent="0.25">
      <c r="A7" t="s">
        <v>194</v>
      </c>
      <c r="Y7" s="5" t="s">
        <v>21</v>
      </c>
      <c r="Z7" s="3" t="s">
        <v>144</v>
      </c>
    </row>
    <row r="8" spans="1:26" x14ac:dyDescent="0.25">
      <c r="A8" t="s">
        <v>192</v>
      </c>
      <c r="Y8" s="6" t="s">
        <v>22</v>
      </c>
      <c r="Z8" t="s">
        <v>23</v>
      </c>
    </row>
    <row r="9" spans="1:26" x14ac:dyDescent="0.25">
      <c r="A9" t="s">
        <v>193</v>
      </c>
      <c r="Y9" s="6" t="s">
        <v>28</v>
      </c>
      <c r="Z9" t="s">
        <v>68</v>
      </c>
    </row>
    <row r="10" spans="1:26" x14ac:dyDescent="0.25">
      <c r="A10" s="65" t="s">
        <v>200</v>
      </c>
      <c r="Y10" s="5"/>
      <c r="Z10" t="s">
        <v>29</v>
      </c>
    </row>
    <row r="11" spans="1:26" x14ac:dyDescent="0.25">
      <c r="Y11" s="3" t="s">
        <v>35</v>
      </c>
      <c r="Z11" t="s">
        <v>48</v>
      </c>
    </row>
    <row r="12" spans="1:26" x14ac:dyDescent="0.25">
      <c r="A12" s="66" t="s">
        <v>195</v>
      </c>
      <c r="B12" s="9" t="s">
        <v>165</v>
      </c>
      <c r="C12" s="79">
        <f>IF(K18="Conforme aux Règles du Wargame",SUM(G37,S37,G58,S58,G79,S79,G100,S100,G121,S121,G142,S142),"0 (Erreur)")</f>
        <v>128000</v>
      </c>
      <c r="D12" s="80"/>
      <c r="E12" s="10" t="s">
        <v>160</v>
      </c>
      <c r="F12" s="10"/>
      <c r="G12" s="10"/>
      <c r="H12" s="16"/>
      <c r="L12" s="68">
        <f>SUM(K28,L28,K49,L49,K70,L70,K91,L91,K112,L112,K133,L133)</f>
        <v>5</v>
      </c>
      <c r="M12" s="69" t="s">
        <v>199</v>
      </c>
      <c r="Y12" t="s">
        <v>23</v>
      </c>
      <c r="Z12" t="s">
        <v>47</v>
      </c>
    </row>
    <row r="13" spans="1:26" x14ac:dyDescent="0.25">
      <c r="A13" s="67">
        <f>SUM(K30,L30,K51,L51,K72,L72,K93,L93,K114,L114,K135,L135)</f>
        <v>2</v>
      </c>
      <c r="B13" s="11" t="s">
        <v>166</v>
      </c>
      <c r="C13" s="77">
        <f>SUM(K33,L33,K54,L54,K75,L75,K96,L96,K117,L117,K138,L138)</f>
        <v>2</v>
      </c>
      <c r="D13" s="78"/>
      <c r="E13" s="12" t="s">
        <v>202</v>
      </c>
      <c r="F13" s="12"/>
      <c r="G13" s="12"/>
      <c r="H13" s="57"/>
      <c r="I13" s="62"/>
      <c r="J13" s="76"/>
      <c r="K13" s="61"/>
      <c r="L13" s="9" t="s">
        <v>170</v>
      </c>
      <c r="M13" s="10"/>
      <c r="N13" s="10"/>
      <c r="O13" s="70">
        <f>IF(C13=0,0,(IF(C13=1,10,IF(C13=2,19,IF(C13=3,27,IF(C13=4,34,IF(C13=5,40,IF(C13=6,45,50))))))))</f>
        <v>19</v>
      </c>
      <c r="P13" s="10" t="s">
        <v>153</v>
      </c>
      <c r="Q13" s="10" t="s">
        <v>173</v>
      </c>
      <c r="R13" s="10"/>
      <c r="S13" s="73">
        <f>20*(1-O13/100)</f>
        <v>16.200000000000003</v>
      </c>
      <c r="T13" s="10" t="s">
        <v>175</v>
      </c>
      <c r="U13" s="10"/>
      <c r="V13" s="10"/>
      <c r="W13" s="16"/>
      <c r="Y13" s="5" t="s">
        <v>24</v>
      </c>
      <c r="Z13" t="s">
        <v>46</v>
      </c>
    </row>
    <row r="14" spans="1:26" x14ac:dyDescent="0.25">
      <c r="A14" s="66" t="s">
        <v>196</v>
      </c>
      <c r="B14" s="11" t="s">
        <v>167</v>
      </c>
      <c r="C14" s="77">
        <f>SUM(K34,L34,K55,L55,K76,L76,K97,L97,K118,L118,K139,L139)</f>
        <v>3</v>
      </c>
      <c r="D14" s="78"/>
      <c r="E14" s="12" t="s">
        <v>202</v>
      </c>
      <c r="F14" s="12"/>
      <c r="G14" s="12"/>
      <c r="H14" s="57"/>
      <c r="I14" s="11"/>
      <c r="J14" s="12"/>
      <c r="K14" s="57"/>
      <c r="L14" s="11" t="s">
        <v>172</v>
      </c>
      <c r="M14" s="12"/>
      <c r="N14" s="12"/>
      <c r="O14" s="71">
        <f>IF(C14=0,0,(IF(C14=1,10,IF(C14=2,19,IF(C14=3,27,IF(C14=4,34,IF(C14=5,40,IF(C14=6,45,50))))))))</f>
        <v>27</v>
      </c>
      <c r="P14" s="12" t="s">
        <v>153</v>
      </c>
      <c r="Q14" s="12" t="s">
        <v>173</v>
      </c>
      <c r="R14" s="12"/>
      <c r="S14" s="74">
        <f>30*(1-O14/100)</f>
        <v>21.9</v>
      </c>
      <c r="T14" s="12" t="s">
        <v>176</v>
      </c>
      <c r="U14" s="12"/>
      <c r="V14" s="12"/>
      <c r="W14" s="57"/>
      <c r="Y14" s="5" t="s">
        <v>25</v>
      </c>
      <c r="Z14" t="s">
        <v>61</v>
      </c>
    </row>
    <row r="15" spans="1:26" x14ac:dyDescent="0.25">
      <c r="A15" s="67">
        <f>SUM(K31,L31,K52,L52,K73,L73,K94,L94,K115,L115,K136,L136)</f>
        <v>3</v>
      </c>
      <c r="B15" s="11" t="s">
        <v>168</v>
      </c>
      <c r="C15" s="77">
        <f>SUM(K35,L35,K56,L56,K77,L77,K98,L98,K119,L119,K140,L140)</f>
        <v>1</v>
      </c>
      <c r="D15" s="78"/>
      <c r="E15" s="12" t="s">
        <v>203</v>
      </c>
      <c r="F15" s="14"/>
      <c r="G15" s="14"/>
      <c r="H15" s="15"/>
      <c r="I15" s="58"/>
      <c r="J15" s="59"/>
      <c r="K15" s="60"/>
      <c r="L15" s="11" t="s">
        <v>174</v>
      </c>
      <c r="M15" s="12"/>
      <c r="N15" s="12"/>
      <c r="O15" s="71">
        <f t="shared" ref="O15" si="0">IF(C15=0,0,(IF(C15=1,10,IF(C15=2,19,IF(C15=3,27,IF(C15=4,34,IF(C15=5,40,IF(C15=6,45,50))))))))</f>
        <v>10</v>
      </c>
      <c r="P15" s="12" t="s">
        <v>153</v>
      </c>
      <c r="Q15" s="12" t="s">
        <v>173</v>
      </c>
      <c r="R15" s="12"/>
      <c r="S15" s="74">
        <f>50*(1-O15/100)</f>
        <v>45</v>
      </c>
      <c r="T15" s="12" t="s">
        <v>177</v>
      </c>
      <c r="U15" s="12"/>
      <c r="V15" s="12"/>
      <c r="W15" s="57"/>
      <c r="Y15" s="6" t="s">
        <v>26</v>
      </c>
      <c r="Z15" t="s">
        <v>50</v>
      </c>
    </row>
    <row r="16" spans="1:26" x14ac:dyDescent="0.25">
      <c r="A16" s="66" t="s">
        <v>197</v>
      </c>
      <c r="B16" s="15" t="s">
        <v>169</v>
      </c>
      <c r="C16" s="81" t="s">
        <v>198</v>
      </c>
      <c r="D16" s="82"/>
      <c r="E16" s="83"/>
      <c r="F16" s="58"/>
      <c r="G16" s="59"/>
      <c r="H16" s="59"/>
      <c r="I16" s="59"/>
      <c r="J16" s="59"/>
      <c r="K16" s="60"/>
      <c r="L16" s="13" t="s">
        <v>171</v>
      </c>
      <c r="M16" s="14"/>
      <c r="N16" s="14"/>
      <c r="O16" s="72">
        <f>IF(C16="","Err",IF(IF(C16="Infanterie",4*C13+3*C14+3*C15,IF(C16="Cavalerie",3*C13+4*C14+3*C15,3*C13+3*C14+4*C15))&gt;50,50,IF(C16="Infanterie",4*C13+3*C14+3*C15,IF(C16="Cavalerie",3*C13+4*C14+3*C15,IF(C16="Siège",3*C13+3*C14+4*C15,"Err")))))</f>
        <v>21</v>
      </c>
      <c r="P16" s="14" t="s">
        <v>153</v>
      </c>
      <c r="Q16" s="14" t="s">
        <v>173</v>
      </c>
      <c r="R16" s="14"/>
      <c r="S16" s="75">
        <f>IF(O16="Err","Élite ???",1-O16/100)</f>
        <v>0.79</v>
      </c>
      <c r="T16" s="14" t="s">
        <v>178</v>
      </c>
      <c r="U16" s="14"/>
      <c r="V16" s="14"/>
      <c r="W16" s="15"/>
      <c r="Y16" s="6" t="s">
        <v>27</v>
      </c>
      <c r="Z16" t="s">
        <v>52</v>
      </c>
    </row>
    <row r="17" spans="1:26" ht="15.75" thickBot="1" x14ac:dyDescent="0.3">
      <c r="A17" s="67">
        <f>SUM(K32,L32,K53,L53,K74,L74,K95,L95,K116,L116,K137,L137)</f>
        <v>4</v>
      </c>
      <c r="R17" s="108">
        <v>236450</v>
      </c>
      <c r="S17" s="107"/>
      <c r="T17" s="113" t="s">
        <v>205</v>
      </c>
      <c r="U17" s="114"/>
      <c r="V17" s="114"/>
      <c r="W17" s="115"/>
      <c r="Y17" s="5"/>
      <c r="Z17" t="s">
        <v>54</v>
      </c>
    </row>
    <row r="18" spans="1:26" ht="15.75" thickBot="1" x14ac:dyDescent="0.3">
      <c r="G18" s="104" t="s">
        <v>182</v>
      </c>
      <c r="H18" s="105"/>
      <c r="I18" s="105"/>
      <c r="J18" s="106"/>
      <c r="K18" s="101" t="str">
        <f>IF(X74="Test 1 Erreur","Erreur : Au moins une ville est mal saisie !",IF(X75="Test 2 Erreur","Erreur : Vous avez au moins une ville en doublon !",IF(X76="Test 3 Erreur","Refusé : L'une de vos villes contient trop de bâtiments !",IF(X77="Test 4 Erreur","Refusé : Un Palais est situé dans une ville non valide !",IF(X78="Test 5 Erreur","Refusé : Un seul Palais autorisé par Seigneurie !","Conforme aux Règles du Wargame")))))</f>
        <v>Conforme aux Règles du Wargame</v>
      </c>
      <c r="L18" s="102"/>
      <c r="M18" s="102"/>
      <c r="N18" s="103"/>
      <c r="R18" s="109">
        <v>204402</v>
      </c>
      <c r="S18" s="110"/>
      <c r="T18" s="116" t="s">
        <v>206</v>
      </c>
      <c r="U18" s="117"/>
      <c r="V18" s="117"/>
      <c r="W18" s="118"/>
      <c r="Y18" s="3" t="s">
        <v>36</v>
      </c>
      <c r="Z18" t="s">
        <v>57</v>
      </c>
    </row>
    <row r="19" spans="1:26" x14ac:dyDescent="0.25">
      <c r="G19" s="56"/>
      <c r="H19" s="56"/>
      <c r="I19" s="56"/>
      <c r="J19" s="56"/>
      <c r="R19" s="111">
        <f>ROUND((3*R17+R18)*S16/20,0)</f>
        <v>36093</v>
      </c>
      <c r="S19" s="112"/>
      <c r="T19" s="119" t="s">
        <v>207</v>
      </c>
      <c r="U19" s="120"/>
      <c r="V19" s="120"/>
      <c r="W19" s="121"/>
      <c r="Y19" t="s">
        <v>29</v>
      </c>
      <c r="Z19" t="s">
        <v>59</v>
      </c>
    </row>
    <row r="20" spans="1:26" x14ac:dyDescent="0.25">
      <c r="Y20" s="5" t="s">
        <v>30</v>
      </c>
      <c r="Z20" t="s">
        <v>64</v>
      </c>
    </row>
    <row r="21" spans="1:26" x14ac:dyDescent="0.25">
      <c r="A21" s="50" t="s">
        <v>16</v>
      </c>
      <c r="B21" s="54" t="s">
        <v>47</v>
      </c>
      <c r="D21" s="9"/>
      <c r="E21" s="10"/>
      <c r="F21" s="10"/>
      <c r="G21" s="17" t="s">
        <v>151</v>
      </c>
      <c r="H21" s="99">
        <v>250</v>
      </c>
      <c r="I21" s="100"/>
      <c r="J21" s="40" t="s">
        <v>152</v>
      </c>
      <c r="M21" s="50" t="s">
        <v>148</v>
      </c>
      <c r="N21" s="54" t="s">
        <v>133</v>
      </c>
      <c r="P21" s="9"/>
      <c r="Q21" s="10"/>
      <c r="R21" s="10"/>
      <c r="S21" s="17" t="s">
        <v>151</v>
      </c>
      <c r="T21" s="99">
        <v>250</v>
      </c>
      <c r="U21" s="100"/>
      <c r="V21" s="40" t="s">
        <v>152</v>
      </c>
      <c r="X21" s="63">
        <v>250</v>
      </c>
      <c r="Y21" s="5" t="s">
        <v>31</v>
      </c>
      <c r="Z21" t="s">
        <v>45</v>
      </c>
    </row>
    <row r="22" spans="1:26" x14ac:dyDescent="0.25">
      <c r="A22" s="45" t="s">
        <v>15</v>
      </c>
      <c r="B22" s="51" t="str">
        <f>IF(B21="","Ville non définie !",IF(OR(B21=Z4,B21=Z5),"Capitale",IF(OR(B21=Z8,B21=Z9,B21=Z10,B21=Z11,B21=Z12,B21=Z13,B21=Z14,B21=Z15,B21=Z16,B21=Z17,B21=Z18,B21=Z19,B21=Z20,B21=Z21,B21=Z22,B21=Z23,B21=Z24,B21=Z25,B21=Z26),"Ville majeure",IF(OR(B21=Z29,B21=Z30,B21=Z31,B21=Z32,B21=Z33,B21=Z34,B21=Z35,B21=Z36,B21=Z37,B21=Z38,B21=Z39,B21=Z40,B21=Z41,B21=Z42,B21=Z43,B21=Z44,B21=Z45,B21=Z46,B21=Z47,B21=Z48,B21=Z49,B21=Z50,B21=Z51,B21=Z52,B21=Z53,B21=Z54,B21=Z55,B21=Z56,B21=Z57,B21=Z58,B21=Z59,B21=Z60,B21=Z61,B21=Z62,B21=Z63,B21=Z64,B21=Z65,B21=Z66,B21=Z67,B21=Z68,B21=Z69,B21=Z70,B21=Z71),"Ville mineure",IF(OR(B21=Z74,B21=Z75,B21=Z76,B21=Z77,B21=Z78,B21=Z79,B21=Z80,B21=Z81,B21=Z82,B21=Z83,B21=Z84,B21=Z85,B21=Z86,B21=Z87,B21=Z88,B21=Z89,B21=Z90,B21=Z91,B21=Z92,B21=Z93,B21=Z94,B21=Z95,B21=Z96,B21=Z97,B21=Z98,B21=Z99,B21=Z100,B21=Z101,B21=Z102,B21=Z103,B21=Z104,B21=Z105,B21=Z106,B21=Z107,B21=Z108,B21=Z109,B21=Z110,B21=Z111,B21=Z112,B21=Z113,B21=Z114),"Bourg","Erreur de saisie !")))))</f>
        <v>Ville majeure</v>
      </c>
      <c r="D22" s="11"/>
      <c r="E22" s="12"/>
      <c r="F22" s="12"/>
      <c r="G22" s="21" t="s">
        <v>164</v>
      </c>
      <c r="H22" s="37" t="s">
        <v>8</v>
      </c>
      <c r="I22" s="33">
        <f>SUM(IF(B22="Capitale",4,IF(B22="Ville majeure",3,IF(B22="Ville mineure",3,IF(B22="Bourg",2,0)))),IF(D29="Oui",1,0),IF(H21&gt;160,0,IF(H21&gt;80,-1,-2)))</f>
        <v>4</v>
      </c>
      <c r="J22" s="34"/>
      <c r="M22" s="45" t="s">
        <v>15</v>
      </c>
      <c r="N22" s="51" t="str">
        <f>IF(N21="","Ville non définie !",IF(OR(N21=Z4,N21=Z5),"Capitale",IF(OR(N21=Z8,N21=Z9,N21=Z10,N21=Z11,N21=Z12,N21=Z13,N21=Z14,N21=Z15,N21=Z16,N21=Z17,N21=Z18,N21=Z19,N21=Z20,N21=Z21,N21=Z22,N21=Z23,N21=Z24,N21=Z25,N21=Z26),"Ville majeure",IF(OR(N21=Z29,N21=Z30,N21=Z31,N21=Z32,N21=Z33,N21=Z34,N21=Z35,N21=Z36,N21=Z37,N21=Z38,N21=Z39,N21=Z40,N21=Z41,N21=Z42,N21=Z43,N21=Z44,N21=Z45,N21=Z46,N21=Z47,N21=Z48,N21=Z49,N21=Z50,N21=Z51,N21=Z52,N21=Z53,N21=Z54,N21=Z55,N21=Z56,N21=Z57,N21=Z58,N21=Z59,N21=Z60,N21=Z61,N21=Z62,N21=Z63,N21=Z64,N21=Z65,N21=Z66,N21=Z67,N21=Z68,N21=Z69,N21=Z70,N21=Z71),"Ville mineure",IF(OR(N21=Z74,N21=Z75,N21=Z76,N21=Z77,N21=Z78,N21=Z79,N21=Z80,N21=Z81,N21=Z82,N21=Z83,N21=Z84,N21=Z85,N21=Z86,N21=Z87,N21=Z88,N21=Z89,N21=Z90,N21=Z91,N21=Z92,N21=Z93,N21=Z94,N21=Z95,N21=Z96,N21=Z97,N21=Z98,N21=Z99,N21=Z100,N21=Z101,N21=Z102,N21=Z103,N21=Z104,N21=Z105,N21=Z106,N21=Z107,N21=Z108,N21=Z109,N21=Z110,N21=Z111,N21=Z112,N21=Z113,N21=Z114),"Bourg","Erreur de saisie !")))))</f>
        <v>Ville mineure</v>
      </c>
      <c r="P22" s="11"/>
      <c r="Q22" s="12"/>
      <c r="R22" s="12"/>
      <c r="S22" s="21" t="s">
        <v>164</v>
      </c>
      <c r="T22" s="37" t="s">
        <v>8</v>
      </c>
      <c r="U22" s="33">
        <f>SUM(IF(N22="Capitale",4,IF(N22="Ville majeure",3,IF(N22="Ville mineure",3,IF(N22="Bourg",2,0)))),IF(P29="Oui",1,0),IF(T21&gt;160,0,IF(T21&gt;80,-1,-2)))</f>
        <v>3</v>
      </c>
      <c r="V22" s="34"/>
      <c r="W22" s="63" t="str">
        <f>IF(B21="","1",B21)</f>
        <v>Cheydinhal</v>
      </c>
      <c r="X22" s="63">
        <v>245</v>
      </c>
      <c r="Y22" s="6" t="s">
        <v>32</v>
      </c>
      <c r="Z22" t="s">
        <v>44</v>
      </c>
    </row>
    <row r="23" spans="1:26" x14ac:dyDescent="0.25">
      <c r="A23" s="45" t="s">
        <v>14</v>
      </c>
      <c r="B23" s="52">
        <f>IF(B22="Capitale",7,IF(B22="Ville majeure",6,IF(B22="Ville mineure",4,IF(B22="Bourg",2,0))))</f>
        <v>6</v>
      </c>
      <c r="D23" s="11"/>
      <c r="E23" s="12"/>
      <c r="F23" s="12"/>
      <c r="G23" s="21" t="s">
        <v>155</v>
      </c>
      <c r="H23" s="37" t="s">
        <v>13</v>
      </c>
      <c r="I23" s="33">
        <f>IF(H21&lt;150,100,250-H21)</f>
        <v>0</v>
      </c>
      <c r="J23" s="34" t="s">
        <v>153</v>
      </c>
      <c r="M23" s="45" t="s">
        <v>14</v>
      </c>
      <c r="N23" s="52">
        <f>IF(N22="Capitale",7,IF(N22="Ville majeure",6,IF(N22="Ville mineure",4,IF(N22="Bourg",2,0))))</f>
        <v>4</v>
      </c>
      <c r="P23" s="11"/>
      <c r="Q23" s="12"/>
      <c r="R23" s="12"/>
      <c r="S23" s="21" t="s">
        <v>155</v>
      </c>
      <c r="T23" s="37" t="s">
        <v>13</v>
      </c>
      <c r="U23" s="33">
        <f>IF(T21&lt;150,100,250-T21)</f>
        <v>0</v>
      </c>
      <c r="V23" s="34" t="s">
        <v>153</v>
      </c>
      <c r="W23" s="63" t="str">
        <f>IF(N21="","2",N21)</f>
        <v>Hame</v>
      </c>
      <c r="X23" s="63">
        <v>240</v>
      </c>
      <c r="Y23" s="6" t="s">
        <v>33</v>
      </c>
      <c r="Z23" t="s">
        <v>66</v>
      </c>
    </row>
    <row r="24" spans="1:26" x14ac:dyDescent="0.25">
      <c r="A24" s="45" t="s">
        <v>149</v>
      </c>
      <c r="B24" s="52">
        <f>COUNTIF(D29:D35,"Oui")</f>
        <v>4</v>
      </c>
      <c r="D24" s="13"/>
      <c r="E24" s="14"/>
      <c r="F24" s="14"/>
      <c r="G24" s="18" t="s">
        <v>154</v>
      </c>
      <c r="H24" s="38" t="s">
        <v>13</v>
      </c>
      <c r="I24" s="35">
        <f>IF(H21&lt;150,100,300-H21-0.5*I23)</f>
        <v>50</v>
      </c>
      <c r="J24" s="36" t="s">
        <v>153</v>
      </c>
      <c r="M24" s="45" t="s">
        <v>149</v>
      </c>
      <c r="N24" s="52">
        <f>COUNTIF(P29:P35,"Oui")</f>
        <v>4</v>
      </c>
      <c r="P24" s="13"/>
      <c r="Q24" s="14"/>
      <c r="R24" s="14"/>
      <c r="S24" s="18" t="s">
        <v>154</v>
      </c>
      <c r="T24" s="38" t="s">
        <v>13</v>
      </c>
      <c r="U24" s="35">
        <f>IF(T21&lt;150,100,300-T21-0.5*U23)</f>
        <v>50</v>
      </c>
      <c r="V24" s="36" t="s">
        <v>153</v>
      </c>
      <c r="W24" s="63" t="str">
        <f>IF(B42="","3",B42)</f>
        <v>Sanctuaire de la Phalène Anc.</v>
      </c>
      <c r="X24" s="63">
        <v>235</v>
      </c>
      <c r="Y24" s="5"/>
      <c r="Z24" t="s">
        <v>63</v>
      </c>
    </row>
    <row r="25" spans="1:26" x14ac:dyDescent="0.25">
      <c r="A25" s="46" t="s">
        <v>204</v>
      </c>
      <c r="B25" s="53" t="s">
        <v>12</v>
      </c>
      <c r="M25" s="46" t="s">
        <v>204</v>
      </c>
      <c r="N25" s="53" t="s">
        <v>12</v>
      </c>
      <c r="W25" s="63" t="str">
        <f>IF(N42="","4",N42)</f>
        <v>Domaine de Rugdumph</v>
      </c>
      <c r="X25" s="63">
        <v>230</v>
      </c>
      <c r="Y25" s="3" t="s">
        <v>37</v>
      </c>
      <c r="Z25" t="s">
        <v>56</v>
      </c>
    </row>
    <row r="26" spans="1:26" x14ac:dyDescent="0.25">
      <c r="D26" s="84" t="s">
        <v>10</v>
      </c>
      <c r="E26" s="86"/>
      <c r="F26" s="84" t="s">
        <v>7</v>
      </c>
      <c r="G26" s="85"/>
      <c r="H26" s="84" t="s">
        <v>158</v>
      </c>
      <c r="I26" s="85"/>
      <c r="J26" s="86"/>
      <c r="P26" s="84" t="s">
        <v>10</v>
      </c>
      <c r="Q26" s="86"/>
      <c r="R26" s="84" t="s">
        <v>7</v>
      </c>
      <c r="S26" s="85"/>
      <c r="T26" s="84" t="s">
        <v>158</v>
      </c>
      <c r="U26" s="85"/>
      <c r="V26" s="86"/>
      <c r="W26" s="63" t="str">
        <f>IF(B63="","5",B63)</f>
        <v>Drakelowe</v>
      </c>
      <c r="X26" s="63">
        <v>225</v>
      </c>
      <c r="Y26" t="s">
        <v>48</v>
      </c>
      <c r="Z26" t="s">
        <v>43</v>
      </c>
    </row>
    <row r="27" spans="1:26" x14ac:dyDescent="0.25">
      <c r="D27" s="87" t="s">
        <v>6</v>
      </c>
      <c r="E27" s="89"/>
      <c r="F27" s="87" t="s">
        <v>9</v>
      </c>
      <c r="G27" s="88"/>
      <c r="H27" s="87" t="s">
        <v>157</v>
      </c>
      <c r="I27" s="88"/>
      <c r="J27" s="89"/>
      <c r="P27" s="87" t="s">
        <v>6</v>
      </c>
      <c r="Q27" s="89"/>
      <c r="R27" s="87" t="s">
        <v>9</v>
      </c>
      <c r="S27" s="88"/>
      <c r="T27" s="87" t="s">
        <v>157</v>
      </c>
      <c r="U27" s="88"/>
      <c r="V27" s="89"/>
      <c r="W27" s="63" t="str">
        <f>IF(N63="","6",N63)</f>
        <v>6</v>
      </c>
      <c r="X27" s="63">
        <v>220</v>
      </c>
      <c r="Y27" s="5" t="s">
        <v>136</v>
      </c>
    </row>
    <row r="28" spans="1:26" x14ac:dyDescent="0.25">
      <c r="A28" s="9" t="s">
        <v>0</v>
      </c>
      <c r="B28" s="10"/>
      <c r="C28" s="10"/>
      <c r="D28" s="19" t="s">
        <v>13</v>
      </c>
      <c r="E28" s="16"/>
      <c r="F28" s="25" t="s">
        <v>8</v>
      </c>
      <c r="G28" s="26">
        <f>IF(B22="Capitale",20000,IF(B22="Ville majeure",15000,IF(B22="Ville mineure",10000,IF(B22="Bourg",5000,0))))</f>
        <v>15000</v>
      </c>
      <c r="H28" s="39" t="s">
        <v>8</v>
      </c>
      <c r="I28" s="90">
        <f>IF(B25="Oui",G28*(1-I24/100),IF(B25="Non",G28*(1-I23/100),"Siège ?"))</f>
        <v>15000</v>
      </c>
      <c r="J28" s="91"/>
      <c r="K28" s="63">
        <f>IF(AND(NOT(B21=""),B38="Conforme aux Règles du Wargame"),1,0)</f>
        <v>1</v>
      </c>
      <c r="L28" s="63">
        <f>IF(AND(NOT(N21=""),N38="Conforme aux Règles du Wargame"),1,0)</f>
        <v>1</v>
      </c>
      <c r="M28" s="9" t="s">
        <v>0</v>
      </c>
      <c r="N28" s="10"/>
      <c r="O28" s="10"/>
      <c r="P28" s="19" t="s">
        <v>13</v>
      </c>
      <c r="Q28" s="16"/>
      <c r="R28" s="25" t="s">
        <v>8</v>
      </c>
      <c r="S28" s="26">
        <f>IF(N22="Capitale",20000,IF(N22="Ville majeure",15000,IF(N22="Ville mineure",10000,IF(N22="Bourg",5000,0))))</f>
        <v>10000</v>
      </c>
      <c r="T28" s="39" t="s">
        <v>8</v>
      </c>
      <c r="U28" s="90">
        <f>IF(N25="Oui",S28*(1-U24/100),IF(N25="Non",S28*(1-U23/100),"Siège ?"))</f>
        <v>10000</v>
      </c>
      <c r="V28" s="91"/>
      <c r="W28" s="63" t="str">
        <f>IF(B84="","7",B84)</f>
        <v>7</v>
      </c>
      <c r="X28" s="63">
        <v>215</v>
      </c>
      <c r="Y28" s="5" t="s">
        <v>137</v>
      </c>
      <c r="Z28" s="3" t="s">
        <v>145</v>
      </c>
    </row>
    <row r="29" spans="1:26" x14ac:dyDescent="0.25">
      <c r="A29" s="11" t="s">
        <v>147</v>
      </c>
      <c r="B29" s="12"/>
      <c r="C29" s="12"/>
      <c r="D29" s="23" t="s">
        <v>11</v>
      </c>
      <c r="E29" s="24"/>
      <c r="F29" s="27" t="s">
        <v>8</v>
      </c>
      <c r="G29" s="28">
        <f>IF(NOT(D29="Oui"),0,20000)</f>
        <v>20000</v>
      </c>
      <c r="H29" s="37" t="s">
        <v>8</v>
      </c>
      <c r="I29" s="90">
        <f>IF(NOT(D29="OUI"),0,IF(B$25="Oui",G29*(1-I$24/100),IF(B$25="Non",G29*(1-I$23/100),"Siège ?")))</f>
        <v>20000</v>
      </c>
      <c r="J29" s="91"/>
      <c r="K29" s="63">
        <f>IF(AND(D29="Oui",B38="Conforme aux Règles du Wargame"),1,0)</f>
        <v>1</v>
      </c>
      <c r="L29" s="63">
        <f>IF(AND(P29="Oui",N38="Conforme aux Règles du Wargame"),1,0)</f>
        <v>0</v>
      </c>
      <c r="M29" s="11" t="s">
        <v>147</v>
      </c>
      <c r="N29" s="12"/>
      <c r="O29" s="12"/>
      <c r="P29" s="23" t="s">
        <v>12</v>
      </c>
      <c r="Q29" s="24"/>
      <c r="R29" s="27" t="s">
        <v>8</v>
      </c>
      <c r="S29" s="28">
        <f>IF(NOT(P29="Oui"),0,20000)</f>
        <v>0</v>
      </c>
      <c r="T29" s="37" t="s">
        <v>8</v>
      </c>
      <c r="U29" s="90">
        <f>IF(NOT(P29="OUI"),0,IF(N$25="Oui",S29*(1-U$24/100),IF(N$25="Non",S29*(1-U$23/100),"Siège ?")))</f>
        <v>0</v>
      </c>
      <c r="V29" s="91"/>
      <c r="W29" s="63" t="str">
        <f>IF(N84="","8",N84)</f>
        <v>8</v>
      </c>
      <c r="X29" s="63">
        <v>210</v>
      </c>
      <c r="Y29" s="6" t="s">
        <v>138</v>
      </c>
      <c r="Z29" s="5" t="s">
        <v>102</v>
      </c>
    </row>
    <row r="30" spans="1:26" x14ac:dyDescent="0.25">
      <c r="A30" s="11" t="s">
        <v>2</v>
      </c>
      <c r="B30" s="12"/>
      <c r="C30" s="12"/>
      <c r="D30" s="23" t="s">
        <v>11</v>
      </c>
      <c r="E30" s="24"/>
      <c r="F30" s="27" t="s">
        <v>8</v>
      </c>
      <c r="G30" s="28">
        <f>IF(NOT(D30="Oui"),0,15000)</f>
        <v>15000</v>
      </c>
      <c r="H30" s="37" t="s">
        <v>8</v>
      </c>
      <c r="I30" s="90">
        <f>IF(NOT(D30="OUI"),0,IF(B$25="Oui",G30*(1-I$24/100),IF(B$25="Non",G30*(1-I$23/100),"Siège ?")))</f>
        <v>15000</v>
      </c>
      <c r="J30" s="91"/>
      <c r="K30" s="63">
        <f>IF(AND(D30="Oui",B38="Conforme aux Règles du Wargame"),1,0)</f>
        <v>1</v>
      </c>
      <c r="L30" s="63">
        <f>IF(AND(P30="Oui",N38="Conforme aux Règles du Wargame"),1,0)</f>
        <v>1</v>
      </c>
      <c r="M30" s="11" t="s">
        <v>2</v>
      </c>
      <c r="N30" s="12"/>
      <c r="O30" s="12"/>
      <c r="P30" s="23" t="s">
        <v>11</v>
      </c>
      <c r="Q30" s="24"/>
      <c r="R30" s="27" t="s">
        <v>8</v>
      </c>
      <c r="S30" s="28">
        <f>IF(NOT(P30="Oui"),0,15000)</f>
        <v>15000</v>
      </c>
      <c r="T30" s="37" t="s">
        <v>8</v>
      </c>
      <c r="U30" s="90">
        <f>IF(NOT(P30="OUI"),0,IF(N$25="Oui",S30*(1-U$24/100),IF(N$25="Non",S30*(1-U$23/100),"Siège ?")))</f>
        <v>15000</v>
      </c>
      <c r="V30" s="91"/>
      <c r="W30" s="63" t="str">
        <f>IF(B105="","9",B105)</f>
        <v>9</v>
      </c>
      <c r="X30" s="63">
        <v>205</v>
      </c>
      <c r="Y30" s="6" t="s">
        <v>139</v>
      </c>
      <c r="Z30" s="5" t="s">
        <v>19</v>
      </c>
    </row>
    <row r="31" spans="1:26" x14ac:dyDescent="0.25">
      <c r="A31" s="11" t="s">
        <v>1</v>
      </c>
      <c r="B31" s="12"/>
      <c r="C31" s="12"/>
      <c r="D31" s="23" t="s">
        <v>11</v>
      </c>
      <c r="E31" s="24"/>
      <c r="F31" s="27" t="s">
        <v>8</v>
      </c>
      <c r="G31" s="28">
        <f>IF(NOT(D31="Oui"),0,7000)</f>
        <v>7000</v>
      </c>
      <c r="H31" s="37" t="s">
        <v>8</v>
      </c>
      <c r="I31" s="90">
        <f>IF(NOT(D31="OUI"),0,IF(B$25="Oui",G31*(1-I$24/100),IF(B$25="Non",G31*(1-I$23/100),"Siège ?")))</f>
        <v>7000</v>
      </c>
      <c r="J31" s="91"/>
      <c r="K31" s="63">
        <f>IF(AND(D31="Oui",B38="Conforme aux Règles du Wargame"),1,0)</f>
        <v>1</v>
      </c>
      <c r="L31" s="63">
        <f>IF(AND(P31="Oui",N38="Conforme aux Règles du Wargame"),1,0)</f>
        <v>1</v>
      </c>
      <c r="M31" s="11" t="s">
        <v>1</v>
      </c>
      <c r="N31" s="12"/>
      <c r="O31" s="12"/>
      <c r="P31" s="23" t="s">
        <v>11</v>
      </c>
      <c r="Q31" s="24"/>
      <c r="R31" s="27" t="s">
        <v>8</v>
      </c>
      <c r="S31" s="28">
        <f>IF(NOT(P31="Oui"),0,7000)</f>
        <v>7000</v>
      </c>
      <c r="T31" s="37" t="s">
        <v>8</v>
      </c>
      <c r="U31" s="90">
        <f>IF(NOT(P31="OUI"),0,IF(N$25="Oui",S31*(1-U$24/100),IF(N$25="Non",S31*(1-U$23/100),"Siège ?")))</f>
        <v>7000</v>
      </c>
      <c r="V31" s="91"/>
      <c r="W31" s="63" t="str">
        <f>IF(N105="","10",N105)</f>
        <v>10</v>
      </c>
      <c r="X31" s="63">
        <v>200</v>
      </c>
      <c r="Y31" s="5"/>
      <c r="Z31" s="5" t="s">
        <v>90</v>
      </c>
    </row>
    <row r="32" spans="1:26" x14ac:dyDescent="0.25">
      <c r="A32" s="11" t="s">
        <v>3</v>
      </c>
      <c r="B32" s="12"/>
      <c r="C32" s="12"/>
      <c r="D32" s="23" t="s">
        <v>11</v>
      </c>
      <c r="E32" s="24"/>
      <c r="F32" s="27" t="s">
        <v>8</v>
      </c>
      <c r="G32" s="28">
        <f>IF(NOT(D32="Oui"),0,3000)</f>
        <v>3000</v>
      </c>
      <c r="H32" s="37" t="s">
        <v>8</v>
      </c>
      <c r="I32" s="90">
        <f>IF(NOT(D32="OUI"),0,IF(B$25="Oui",G32*(1-I$24/100),IF(B$25="Non",G32*(1-I$23/100),"Siège ?")))</f>
        <v>3000</v>
      </c>
      <c r="J32" s="91"/>
      <c r="K32" s="63">
        <f>IF(AND(D32="Oui",B38="Conforme aux Règles du Wargame"),1,0)</f>
        <v>1</v>
      </c>
      <c r="L32" s="63">
        <f>IF(AND(P32="Oui",N38="Conforme aux Règles du Wargame"),1,0)</f>
        <v>1</v>
      </c>
      <c r="M32" s="11" t="s">
        <v>3</v>
      </c>
      <c r="N32" s="12"/>
      <c r="O32" s="12"/>
      <c r="P32" s="23" t="s">
        <v>11</v>
      </c>
      <c r="Q32" s="24"/>
      <c r="R32" s="27" t="s">
        <v>8</v>
      </c>
      <c r="S32" s="28">
        <f>IF(NOT(P32="Oui"),0,3000)</f>
        <v>3000</v>
      </c>
      <c r="T32" s="37" t="s">
        <v>8</v>
      </c>
      <c r="U32" s="90">
        <f>IF(NOT(P32="OUI"),0,IF(N$25="Oui",S32*(1-U$24/100),IF(N$25="Non",S32*(1-U$23/100),"Siège ?")))</f>
        <v>3000</v>
      </c>
      <c r="V32" s="91"/>
      <c r="W32" s="63" t="str">
        <f>IF(B126="","11",B126)</f>
        <v>11</v>
      </c>
      <c r="X32" s="63">
        <v>195</v>
      </c>
      <c r="Y32" s="3" t="s">
        <v>38</v>
      </c>
      <c r="Z32" s="5" t="s">
        <v>78</v>
      </c>
    </row>
    <row r="33" spans="1:26" x14ac:dyDescent="0.25">
      <c r="A33" s="11" t="s">
        <v>4</v>
      </c>
      <c r="B33" s="12"/>
      <c r="C33" s="12"/>
      <c r="D33" s="23" t="s">
        <v>12</v>
      </c>
      <c r="E33" s="24"/>
      <c r="F33" s="32"/>
      <c r="G33" s="32"/>
      <c r="H33" s="29"/>
      <c r="I33" s="95"/>
      <c r="J33" s="96"/>
      <c r="K33" s="63">
        <f>IF(AND(D33="Oui",B38="Conforme aux Règles du Wargame",B25="Non"),1,0)</f>
        <v>0</v>
      </c>
      <c r="L33" s="63">
        <f>IF(AND(P33="Oui",N38="Conforme aux Règles du Wargame",N25="Non"),1,0)</f>
        <v>0</v>
      </c>
      <c r="M33" s="11" t="s">
        <v>4</v>
      </c>
      <c r="N33" s="12"/>
      <c r="O33" s="12"/>
      <c r="P33" s="23" t="s">
        <v>12</v>
      </c>
      <c r="Q33" s="24"/>
      <c r="R33" s="32"/>
      <c r="S33" s="32"/>
      <c r="T33" s="29"/>
      <c r="U33" s="95"/>
      <c r="V33" s="96"/>
      <c r="W33" s="63" t="str">
        <f>IF(N126="","12",N126)</f>
        <v>12</v>
      </c>
      <c r="X33" s="63">
        <v>190</v>
      </c>
      <c r="Y33" t="s">
        <v>47</v>
      </c>
      <c r="Z33" s="5" t="s">
        <v>136</v>
      </c>
    </row>
    <row r="34" spans="1:26" x14ac:dyDescent="0.25">
      <c r="A34" s="11" t="s">
        <v>5</v>
      </c>
      <c r="B34" s="12"/>
      <c r="C34" s="12"/>
      <c r="D34" s="23" t="s">
        <v>12</v>
      </c>
      <c r="E34" s="24"/>
      <c r="F34" s="32"/>
      <c r="G34" s="32"/>
      <c r="H34" s="29"/>
      <c r="I34" s="95"/>
      <c r="J34" s="96"/>
      <c r="K34" s="63">
        <f>IF(AND(D34="Oui",B38="Conforme aux Règles du Wargame",B25="Non"),1,0)</f>
        <v>0</v>
      </c>
      <c r="L34" s="63">
        <f>IF(AND(P34="Oui",N38="Conforme aux Règles du Wargame",N25="Non"),1,0)</f>
        <v>1</v>
      </c>
      <c r="M34" s="11" t="s">
        <v>5</v>
      </c>
      <c r="N34" s="12"/>
      <c r="O34" s="12"/>
      <c r="P34" s="23" t="s">
        <v>11</v>
      </c>
      <c r="Q34" s="24"/>
      <c r="R34" s="32"/>
      <c r="S34" s="32"/>
      <c r="T34" s="29"/>
      <c r="U34" s="95"/>
      <c r="V34" s="96"/>
      <c r="X34" s="63">
        <v>185</v>
      </c>
      <c r="Y34" s="5" t="s">
        <v>133</v>
      </c>
      <c r="Z34" s="5" t="s">
        <v>98</v>
      </c>
    </row>
    <row r="35" spans="1:26" x14ac:dyDescent="0.25">
      <c r="A35" s="11" t="s">
        <v>156</v>
      </c>
      <c r="B35" s="12"/>
      <c r="C35" s="12"/>
      <c r="D35" s="23" t="s">
        <v>12</v>
      </c>
      <c r="E35" s="24"/>
      <c r="F35" s="32"/>
      <c r="G35" s="32"/>
      <c r="H35" s="29"/>
      <c r="I35" s="97"/>
      <c r="J35" s="98"/>
      <c r="K35" s="63">
        <f>IF(AND(D35="Oui",B38="Conforme aux Règles du Wargame",B25="Non"),1,0)</f>
        <v>0</v>
      </c>
      <c r="L35" s="63">
        <f>IF(AND(P35="Oui",N38="Conforme aux Règles du Wargame",N25="Non"),1,0)</f>
        <v>0</v>
      </c>
      <c r="M35" s="11" t="s">
        <v>156</v>
      </c>
      <c r="N35" s="12"/>
      <c r="O35" s="12"/>
      <c r="P35" s="23" t="s">
        <v>12</v>
      </c>
      <c r="Q35" s="24"/>
      <c r="R35" s="32"/>
      <c r="S35" s="32"/>
      <c r="T35" s="29"/>
      <c r="U35" s="97"/>
      <c r="V35" s="98"/>
      <c r="X35" s="63">
        <v>180</v>
      </c>
      <c r="Y35" s="5" t="s">
        <v>140</v>
      </c>
      <c r="Z35" s="5" t="s">
        <v>71</v>
      </c>
    </row>
    <row r="36" spans="1:26" x14ac:dyDescent="0.25">
      <c r="A36" s="9" t="s">
        <v>161</v>
      </c>
      <c r="B36" s="10"/>
      <c r="C36" s="10"/>
      <c r="D36" s="9"/>
      <c r="E36" s="16"/>
      <c r="F36" s="48" t="s">
        <v>8</v>
      </c>
      <c r="G36" s="30">
        <f>SUM(G28:G32)</f>
        <v>60000</v>
      </c>
      <c r="H36" s="41" t="s">
        <v>160</v>
      </c>
      <c r="I36" s="41"/>
      <c r="J36" s="42"/>
      <c r="M36" s="9" t="s">
        <v>161</v>
      </c>
      <c r="N36" s="10"/>
      <c r="O36" s="10"/>
      <c r="P36" s="9"/>
      <c r="Q36" s="16"/>
      <c r="R36" s="48" t="s">
        <v>8</v>
      </c>
      <c r="S36" s="30">
        <f>SUM(S28:S32)</f>
        <v>35000</v>
      </c>
      <c r="T36" s="41" t="s">
        <v>160</v>
      </c>
      <c r="U36" s="41"/>
      <c r="V36" s="42"/>
      <c r="X36" s="63">
        <v>175</v>
      </c>
      <c r="Y36" s="6" t="s">
        <v>134</v>
      </c>
      <c r="Z36" s="5" t="s">
        <v>118</v>
      </c>
    </row>
    <row r="37" spans="1:26" x14ac:dyDescent="0.25">
      <c r="A37" s="13" t="s">
        <v>162</v>
      </c>
      <c r="B37" s="14"/>
      <c r="C37" s="14"/>
      <c r="D37" s="13"/>
      <c r="E37" s="15"/>
      <c r="F37" s="49" t="s">
        <v>8</v>
      </c>
      <c r="G37" s="31">
        <f>IF(B38="Conforme aux Règles du Wargame",SUM(I28:I32),0)</f>
        <v>60000</v>
      </c>
      <c r="H37" s="43" t="s">
        <v>160</v>
      </c>
      <c r="I37" s="43"/>
      <c r="J37" s="44"/>
      <c r="M37" s="13" t="s">
        <v>162</v>
      </c>
      <c r="N37" s="14"/>
      <c r="O37" s="14"/>
      <c r="P37" s="13"/>
      <c r="Q37" s="15"/>
      <c r="R37" s="49" t="s">
        <v>8</v>
      </c>
      <c r="S37" s="31">
        <f>IF(N38="Conforme aux Règles du Wargame",SUM(U28:U32),0)</f>
        <v>35000</v>
      </c>
      <c r="T37" s="43" t="s">
        <v>160</v>
      </c>
      <c r="U37" s="43"/>
      <c r="V37" s="44"/>
      <c r="X37" s="63">
        <v>170</v>
      </c>
      <c r="Y37" s="6" t="s">
        <v>135</v>
      </c>
      <c r="Z37" s="5" t="s">
        <v>106</v>
      </c>
    </row>
    <row r="38" spans="1:26" x14ac:dyDescent="0.25">
      <c r="A38" s="22" t="s">
        <v>150</v>
      </c>
      <c r="B38" s="92" t="str">
        <f>IF(B22="Ville non définie !","Ville non définie !",IF(B22="Erreur de saisie !","Erreur de saisie !",IF(B24&gt;B23,"Refusé : Trop de bâtiments !",IF(AND(D29="OUI",NOT(OR(B22="Ville majeure",B22="Capitale"))),"Refusé : Palais valide que dans les Capitales ou les Villes majeures !", "Conforme aux Règles du Wargame"))))</f>
        <v>Conforme aux Règles du Wargame</v>
      </c>
      <c r="C38" s="93"/>
      <c r="D38" s="93"/>
      <c r="E38" s="93"/>
      <c r="F38" s="93"/>
      <c r="G38" s="93"/>
      <c r="H38" s="93"/>
      <c r="I38" s="93"/>
      <c r="J38" s="94"/>
      <c r="M38" s="22" t="s">
        <v>150</v>
      </c>
      <c r="N38" s="92" t="str">
        <f>IF(N22="Ville non définie !","Ville non définie !",IF(N22="Erreur de saisie !","Erreur de saisie !",IF(N24&gt;N23,"Refusé : Trop de bâtiments !",IF(AND(P29="OUI",NOT(OR(N22="Ville majeure",N22="Capitale"))),"Refusé : Palais valide que dans les Capitales ou les Villes majeures !", "Conforme aux Règles du Wargame"))))</f>
        <v>Conforme aux Règles du Wargame</v>
      </c>
      <c r="O38" s="93"/>
      <c r="P38" s="93"/>
      <c r="Q38" s="93"/>
      <c r="R38" s="93"/>
      <c r="S38" s="93"/>
      <c r="T38" s="93"/>
      <c r="U38" s="93"/>
      <c r="V38" s="94"/>
      <c r="X38" s="63">
        <v>165</v>
      </c>
      <c r="Y38" s="5"/>
      <c r="Z38" s="5" t="s">
        <v>79</v>
      </c>
    </row>
    <row r="39" spans="1:26" x14ac:dyDescent="0.25">
      <c r="A39" s="55"/>
      <c r="B39" s="56"/>
      <c r="C39" s="56"/>
      <c r="D39" s="56"/>
      <c r="E39" s="56"/>
      <c r="F39" s="56"/>
      <c r="G39" s="56"/>
      <c r="H39" s="56"/>
      <c r="I39" s="56"/>
      <c r="J39" s="56"/>
      <c r="M39" s="55"/>
      <c r="N39" s="56"/>
      <c r="O39" s="56"/>
      <c r="P39" s="56"/>
      <c r="Q39" s="56"/>
      <c r="R39" s="56"/>
      <c r="S39" s="56"/>
      <c r="T39" s="56"/>
      <c r="U39" s="56"/>
      <c r="V39" s="56"/>
      <c r="X39" s="63">
        <v>160</v>
      </c>
      <c r="Y39" s="3" t="s">
        <v>39</v>
      </c>
      <c r="Z39" s="5" t="s">
        <v>72</v>
      </c>
    </row>
    <row r="40" spans="1:26" x14ac:dyDescent="0.25">
      <c r="M40" s="1"/>
      <c r="N40" s="3"/>
      <c r="O40" s="3"/>
      <c r="X40" s="63">
        <v>155</v>
      </c>
      <c r="Y40" t="s">
        <v>46</v>
      </c>
      <c r="Z40" s="5" t="s">
        <v>129</v>
      </c>
    </row>
    <row r="41" spans="1:26" x14ac:dyDescent="0.25">
      <c r="X41" s="63">
        <v>150</v>
      </c>
      <c r="Y41" s="5" t="s">
        <v>129</v>
      </c>
      <c r="Z41" s="5" t="s">
        <v>24</v>
      </c>
    </row>
    <row r="42" spans="1:26" x14ac:dyDescent="0.25">
      <c r="A42" s="50" t="s">
        <v>181</v>
      </c>
      <c r="B42" s="54" t="s">
        <v>140</v>
      </c>
      <c r="D42" s="9"/>
      <c r="E42" s="10"/>
      <c r="F42" s="10"/>
      <c r="G42" s="17" t="s">
        <v>151</v>
      </c>
      <c r="H42" s="99">
        <v>250</v>
      </c>
      <c r="I42" s="100"/>
      <c r="J42" s="40" t="s">
        <v>152</v>
      </c>
      <c r="M42" s="50" t="s">
        <v>180</v>
      </c>
      <c r="N42" s="54" t="s">
        <v>134</v>
      </c>
      <c r="P42" s="9"/>
      <c r="Q42" s="10"/>
      <c r="R42" s="10"/>
      <c r="S42" s="17" t="s">
        <v>151</v>
      </c>
      <c r="T42" s="99">
        <v>250</v>
      </c>
      <c r="U42" s="100"/>
      <c r="V42" s="40" t="s">
        <v>152</v>
      </c>
      <c r="X42" s="63">
        <v>145</v>
      </c>
      <c r="Y42" s="5" t="s">
        <v>130</v>
      </c>
      <c r="Z42" s="5" t="s">
        <v>30</v>
      </c>
    </row>
    <row r="43" spans="1:26" x14ac:dyDescent="0.25">
      <c r="A43" s="45" t="s">
        <v>15</v>
      </c>
      <c r="B43" s="51" t="str">
        <f>IF(B42="","Ville non définie !",IF(OR(B42=Z4,B42=Z5),"Capitale",IF(OR(B42=Z8,B42=Z9,B42=Z10,B42=Z11,B42=Z12,B42=Z13,B42=Z14,B42=Z15,B42=Z16,B42=Z17,B42=Z18,B42=Z19,B42=Z20,B42=Z21,B42=Z22,B42=Z23,B42=Z24,B42=Z25,B42=Z26),"Ville majeure",IF(OR(B42=Z29,B42=Z30,B42=Z31,B42=Z32,B42=Z33,B42=Z34,B42=Z35,B42=Z36,B42=Z37,B42=Z38,B42=Z39,B42=Z40,B42=Z41,B42=Z42,B42=Z43,B42=Z44,B42=Z45,B42=Z46,B42=Z47,B42=Z48,B42=Z49,B42=Z50,B42=Z51,B42=Z52,B42=Z53,B42=Z54,B42=Z55,B42=Z56,B42=Z57,B42=Z58,B42=Z59,B42=Z60,B42=Z61,B42=Z62,B42=Z63,B42=Z64,B42=Z65,B42=Z66,B42=Z67,B42=Z68,B42=Z69,B42=Z70,B42=Z71),"Ville mineure",IF(OR(B42=Z74,B42=Z75,B42=Z76,B42=Z77,B42=Z78,B42=Z79,B42=Z80,B42=Z81,B42=Z82,B42=Z83,B42=Z84,B42=Z85,B42=Z86,B42=Z87,B42=Z88,B42=Z89,B42=Z90,B42=Z91,B42=Z92,B42=Z93,B42=Z94,B42=Z95,B42=Z96,B42=Z97,B42=Z98,B42=Z99,B42=Z100,B42=Z101,B42=Z102,B42=Z103,B42=Z104,B42=Z105,B42=Z106,B42=Z107,B42=Z108,B42=Z109,B42=Z110,B42=Z111,B42=Z112,B42=Z113,B42=Z114),"Bourg","Erreur de saisie !")))))</f>
        <v>Ville mineure</v>
      </c>
      <c r="D43" s="11"/>
      <c r="E43" s="12"/>
      <c r="F43" s="12"/>
      <c r="G43" s="21" t="s">
        <v>164</v>
      </c>
      <c r="H43" s="37" t="s">
        <v>8</v>
      </c>
      <c r="I43" s="33">
        <f>SUM(IF(B43="Capitale",4,IF(B43="Ville majeure",3,IF(B43="Ville mineure",3,IF(B43="Bourg",2,0)))),IF(D50="Oui",1,0),IF(H42&gt;160,0,IF(H42&gt;80,-1,-2)))</f>
        <v>3</v>
      </c>
      <c r="J43" s="34"/>
      <c r="M43" s="45" t="s">
        <v>15</v>
      </c>
      <c r="N43" s="51" t="str">
        <f>IF(N42="","Ville non définie !",IF(OR(N42=Z4,N42=Z5),"Capitale",IF(OR(N42=Z8,N42=Z9,N42=Z10,N42=Z11,N42=Z12,N42=Z13,N42=Z14,N42=Z15,N42=Z16,N42=Z17,N42=Z18,N42=Z19,N42=Z20,N42=Z21,N42=Z22,N42=Z23,N42=Z24,N42=Z25,N42=Z26),"Ville majeure",IF(OR(N42=Z29,N42=Z30,N42=Z31,N42=Z32,N42=Z33,N42=Z34,N42=Z35,N42=Z36,N42=Z37,N42=Z38,N42=Z39,N42=Z40,N42=Z41,N42=Z42,N42=Z43,N42=Z44,N42=Z45,N42=Z46,N42=Z47,N42=Z48,N42=Z49,N42=Z50,N42=Z51,N42=Z52,N42=Z53,N42=Z54,N42=Z55,N42=Z56,N42=Z57,N42=Z58,N42=Z59,N42=Z60,N42=Z61,N42=Z62,N42=Z63,N42=Z64,N42=Z65,N42=Z66,N42=Z67,N42=Z68,N42=Z69,N42=Z70,N42=Z71),"Ville mineure",IF(OR(N42=Z74,N42=Z75,N42=Z76,N42=Z77,N42=Z78,N42=Z79,N42=Z80,N42=Z81,N42=Z82,N42=Z83,N42=Z84,N42=Z85,N42=Z86,N42=Z87,N42=Z88,N42=Z89,N42=Z90,N42=Z91,N42=Z92,N42=Z93,N42=Z94,N42=Z95,N42=Z96,N42=Z97,N42=Z98,N42=Z99,N42=Z100,N42=Z101,N42=Z102,N42=Z103,N42=Z104,N42=Z105,N42=Z106,N42=Z107,N42=Z108,N42=Z109,N42=Z110,N42=Z111,N42=Z112,N42=Z113,N42=Z114),"Bourg","Erreur de saisie !")))))</f>
        <v>Bourg</v>
      </c>
      <c r="P43" s="11"/>
      <c r="Q43" s="12"/>
      <c r="R43" s="12"/>
      <c r="S43" s="21" t="s">
        <v>164</v>
      </c>
      <c r="T43" s="37" t="s">
        <v>8</v>
      </c>
      <c r="U43" s="33">
        <f>SUM(IF(N43="Capitale",4,IF(N43="Ville majeure",3,IF(N43="Ville mineure",3,IF(N43="Bourg",2,0)))),IF(P50="Oui",1,0),IF(T42&gt;160,0,IF(T42&gt;80,-1,-2)))</f>
        <v>2</v>
      </c>
      <c r="V43" s="34"/>
      <c r="X43" s="63">
        <v>140</v>
      </c>
      <c r="Y43" s="6" t="s">
        <v>131</v>
      </c>
      <c r="Z43" s="5" t="s">
        <v>74</v>
      </c>
    </row>
    <row r="44" spans="1:26" x14ac:dyDescent="0.25">
      <c r="A44" s="45" t="s">
        <v>14</v>
      </c>
      <c r="B44" s="52">
        <f>IF(B43="Capitale",7,IF(B43="Ville majeure",6,IF(B43="Ville mineure",4,IF(B43="Bourg",2,0))))</f>
        <v>4</v>
      </c>
      <c r="D44" s="11"/>
      <c r="E44" s="12"/>
      <c r="F44" s="12"/>
      <c r="G44" s="21" t="s">
        <v>155</v>
      </c>
      <c r="H44" s="37" t="s">
        <v>13</v>
      </c>
      <c r="I44" s="33">
        <f>IF(H42&lt;150,100,250-H42)</f>
        <v>0</v>
      </c>
      <c r="J44" s="34" t="s">
        <v>153</v>
      </c>
      <c r="M44" s="45" t="s">
        <v>14</v>
      </c>
      <c r="N44" s="52">
        <f>IF(N43="Capitale",7,IF(N43="Ville majeure",6,IF(N43="Ville mineure",4,IF(N43="Bourg",2,0))))</f>
        <v>2</v>
      </c>
      <c r="P44" s="11"/>
      <c r="Q44" s="12"/>
      <c r="R44" s="12"/>
      <c r="S44" s="21" t="s">
        <v>155</v>
      </c>
      <c r="T44" s="37" t="s">
        <v>13</v>
      </c>
      <c r="U44" s="33">
        <f>IF(T42&lt;150,100,250-T42)</f>
        <v>0</v>
      </c>
      <c r="V44" s="34" t="s">
        <v>153</v>
      </c>
      <c r="X44" s="63">
        <v>135</v>
      </c>
      <c r="Y44" s="6" t="s">
        <v>132</v>
      </c>
      <c r="Z44" s="5" t="s">
        <v>31</v>
      </c>
    </row>
    <row r="45" spans="1:26" x14ac:dyDescent="0.25">
      <c r="A45" s="45" t="s">
        <v>149</v>
      </c>
      <c r="B45" s="52">
        <f>COUNTIF(D50:D56,"Oui")</f>
        <v>4</v>
      </c>
      <c r="D45" s="13"/>
      <c r="E45" s="14"/>
      <c r="F45" s="14"/>
      <c r="G45" s="18" t="s">
        <v>154</v>
      </c>
      <c r="H45" s="38" t="s">
        <v>13</v>
      </c>
      <c r="I45" s="35">
        <f>IF(H42&lt;150,100,300-H42-0.5*I44)</f>
        <v>50</v>
      </c>
      <c r="J45" s="36" t="s">
        <v>153</v>
      </c>
      <c r="M45" s="45" t="s">
        <v>149</v>
      </c>
      <c r="N45" s="52">
        <f>COUNTIF(P50:P56,"Oui")</f>
        <v>2</v>
      </c>
      <c r="P45" s="13"/>
      <c r="Q45" s="14"/>
      <c r="R45" s="14"/>
      <c r="S45" s="18" t="s">
        <v>154</v>
      </c>
      <c r="T45" s="38" t="s">
        <v>13</v>
      </c>
      <c r="U45" s="35">
        <f>IF(T42&lt;150,100,300-T42-0.5*U44)</f>
        <v>50</v>
      </c>
      <c r="V45" s="36" t="s">
        <v>153</v>
      </c>
      <c r="X45" s="63">
        <v>130</v>
      </c>
      <c r="Y45" s="5"/>
      <c r="Z45" s="5" t="s">
        <v>126</v>
      </c>
    </row>
    <row r="46" spans="1:26" x14ac:dyDescent="0.25">
      <c r="A46" s="46" t="s">
        <v>204</v>
      </c>
      <c r="B46" s="53" t="s">
        <v>12</v>
      </c>
      <c r="M46" s="46" t="s">
        <v>204</v>
      </c>
      <c r="N46" s="53" t="s">
        <v>12</v>
      </c>
      <c r="X46" s="63">
        <v>125</v>
      </c>
      <c r="Y46" s="3" t="s">
        <v>40</v>
      </c>
      <c r="Z46" s="5" t="s">
        <v>107</v>
      </c>
    </row>
    <row r="47" spans="1:26" x14ac:dyDescent="0.25">
      <c r="D47" s="84" t="s">
        <v>10</v>
      </c>
      <c r="E47" s="86"/>
      <c r="F47" s="84" t="s">
        <v>7</v>
      </c>
      <c r="G47" s="85"/>
      <c r="H47" s="84" t="s">
        <v>158</v>
      </c>
      <c r="I47" s="85"/>
      <c r="J47" s="86"/>
      <c r="P47" s="84" t="s">
        <v>10</v>
      </c>
      <c r="Q47" s="86"/>
      <c r="R47" s="84" t="s">
        <v>7</v>
      </c>
      <c r="S47" s="85"/>
      <c r="T47" s="84" t="s">
        <v>158</v>
      </c>
      <c r="U47" s="85"/>
      <c r="V47" s="86"/>
      <c r="X47" s="63">
        <v>120</v>
      </c>
      <c r="Y47" t="s">
        <v>45</v>
      </c>
      <c r="Z47" s="5" t="s">
        <v>75</v>
      </c>
    </row>
    <row r="48" spans="1:26" x14ac:dyDescent="0.25">
      <c r="D48" s="87" t="s">
        <v>6</v>
      </c>
      <c r="E48" s="89"/>
      <c r="F48" s="87" t="s">
        <v>9</v>
      </c>
      <c r="G48" s="88"/>
      <c r="H48" s="87" t="s">
        <v>157</v>
      </c>
      <c r="I48" s="88"/>
      <c r="J48" s="89"/>
      <c r="P48" s="87" t="s">
        <v>6</v>
      </c>
      <c r="Q48" s="89"/>
      <c r="R48" s="87" t="s">
        <v>9</v>
      </c>
      <c r="S48" s="88"/>
      <c r="T48" s="87" t="s">
        <v>157</v>
      </c>
      <c r="U48" s="88"/>
      <c r="V48" s="89"/>
      <c r="X48" s="63">
        <v>115</v>
      </c>
      <c r="Y48" s="5" t="s">
        <v>126</v>
      </c>
      <c r="Z48" s="5" t="s">
        <v>110</v>
      </c>
    </row>
    <row r="49" spans="1:26" x14ac:dyDescent="0.25">
      <c r="A49" s="9" t="s">
        <v>0</v>
      </c>
      <c r="B49" s="10"/>
      <c r="C49" s="10"/>
      <c r="D49" s="20" t="s">
        <v>13</v>
      </c>
      <c r="E49" s="16"/>
      <c r="F49" s="25" t="s">
        <v>8</v>
      </c>
      <c r="G49" s="26">
        <f>IF(B43="Capitale",20000,IF(B43="Ville majeure",15000,IF(B43="Ville mineure",10000,IF(B43="Bourg",5000,0))))</f>
        <v>10000</v>
      </c>
      <c r="H49" s="39" t="s">
        <v>8</v>
      </c>
      <c r="I49" s="90">
        <f>IF(B46="Oui",G49*(1-I45/100),IF(B46="Non",G49*(1-I44/100),"Siège ?"))</f>
        <v>10000</v>
      </c>
      <c r="J49" s="91"/>
      <c r="K49" s="63">
        <f>IF(AND(NOT(B42=""),B59="Conforme aux Règles du Wargame"),1,0)</f>
        <v>1</v>
      </c>
      <c r="L49" s="63">
        <f>IF(AND(NOT(N42=""),N59="Conforme aux Règles du Wargame"),1,0)</f>
        <v>1</v>
      </c>
      <c r="M49" s="9" t="s">
        <v>0</v>
      </c>
      <c r="N49" s="10"/>
      <c r="O49" s="10"/>
      <c r="P49" s="20" t="s">
        <v>13</v>
      </c>
      <c r="Q49" s="16"/>
      <c r="R49" s="25" t="s">
        <v>8</v>
      </c>
      <c r="S49" s="26">
        <f>IF(N43="Capitale",20000,IF(N43="Ville majeure",15000,IF(N43="Ville mineure",10000,IF(N43="Bourg",5000,0))))</f>
        <v>5000</v>
      </c>
      <c r="T49" s="39" t="s">
        <v>8</v>
      </c>
      <c r="U49" s="90">
        <f>IF(N46="Oui",S49*(1-U45/100),IF(N46="Non",S49*(1-U44/100),"Siège ?"))</f>
        <v>5000</v>
      </c>
      <c r="V49" s="91"/>
      <c r="X49" s="63">
        <v>110</v>
      </c>
      <c r="Y49" s="5" t="s">
        <v>127</v>
      </c>
      <c r="Z49" s="5" t="s">
        <v>137</v>
      </c>
    </row>
    <row r="50" spans="1:26" x14ac:dyDescent="0.25">
      <c r="A50" s="11" t="s">
        <v>147</v>
      </c>
      <c r="B50" s="12"/>
      <c r="C50" s="12"/>
      <c r="D50" s="23" t="s">
        <v>12</v>
      </c>
      <c r="E50" s="24"/>
      <c r="F50" s="27" t="s">
        <v>8</v>
      </c>
      <c r="G50" s="47">
        <f>IF(NOT(D50="Oui"),0,20000)</f>
        <v>0</v>
      </c>
      <c r="H50" s="37" t="s">
        <v>8</v>
      </c>
      <c r="I50" s="90">
        <f>IF(NOT(D50="OUI"),0,IF(B46="Oui",G50*(1-I45/100),IF(B46="Non",G50*(1-I44/100),"Siège ?")))</f>
        <v>0</v>
      </c>
      <c r="J50" s="91"/>
      <c r="K50" s="63">
        <f>IF(AND(D50="Oui",B59="Conforme aux Règles du Wargame"),1,0)</f>
        <v>0</v>
      </c>
      <c r="L50" s="63">
        <f>IF(AND(P50="Oui",N59="Conforme aux Règles du Wargame"),1,0)</f>
        <v>0</v>
      </c>
      <c r="M50" s="11" t="s">
        <v>147</v>
      </c>
      <c r="N50" s="12"/>
      <c r="O50" s="12"/>
      <c r="P50" s="23" t="s">
        <v>12</v>
      </c>
      <c r="Q50" s="24"/>
      <c r="R50" s="27" t="s">
        <v>8</v>
      </c>
      <c r="S50" s="47">
        <f>IF(NOT(P50="Oui"),0,20000)</f>
        <v>0</v>
      </c>
      <c r="T50" s="37" t="s">
        <v>8</v>
      </c>
      <c r="U50" s="90">
        <f>IF(NOT(P50="OUI"),0,IF(N46="Oui",S50*(1-U45/100),IF(N46="Non",S50*(1-U44/100),"Siège ?")))</f>
        <v>0</v>
      </c>
      <c r="V50" s="91"/>
      <c r="X50" s="63">
        <v>105</v>
      </c>
      <c r="Y50" s="6" t="s">
        <v>27</v>
      </c>
      <c r="Z50" s="5" t="s">
        <v>94</v>
      </c>
    </row>
    <row r="51" spans="1:26" x14ac:dyDescent="0.25">
      <c r="A51" s="11" t="s">
        <v>2</v>
      </c>
      <c r="B51" s="12"/>
      <c r="C51" s="12"/>
      <c r="D51" s="23" t="s">
        <v>12</v>
      </c>
      <c r="E51" s="24"/>
      <c r="F51" s="27" t="s">
        <v>8</v>
      </c>
      <c r="G51" s="47">
        <f>IF(NOT(D51="Oui"),0,15000)</f>
        <v>0</v>
      </c>
      <c r="H51" s="37" t="s">
        <v>8</v>
      </c>
      <c r="I51" s="90">
        <f>IF(NOT(D51="OUI"),0,IF(B46="Oui",G51*(1-I45/100),IF(B46="Non",G51*(1-I44/100),"Siège ?")))</f>
        <v>0</v>
      </c>
      <c r="J51" s="91"/>
      <c r="K51" s="63">
        <f>IF(AND(D51="Oui",B59="Conforme aux Règles du Wargame"),1,0)</f>
        <v>0</v>
      </c>
      <c r="L51" s="63">
        <f>IF(AND(P51="Oui",N59="Conforme aux Règles du Wargame"),1,0)</f>
        <v>0</v>
      </c>
      <c r="M51" s="11" t="s">
        <v>2</v>
      </c>
      <c r="N51" s="12"/>
      <c r="O51" s="12"/>
      <c r="P51" s="23" t="s">
        <v>12</v>
      </c>
      <c r="Q51" s="24"/>
      <c r="R51" s="27" t="s">
        <v>8</v>
      </c>
      <c r="S51" s="47">
        <f>IF(NOT(P51="Oui"),0,15000)</f>
        <v>0</v>
      </c>
      <c r="T51" s="37" t="s">
        <v>8</v>
      </c>
      <c r="U51" s="90">
        <f>IF(NOT(P51="OUI"),0,IF(N46="Oui",S51*(1-U45/100),IF(N46="Non",S51*(1-U44/100),"Siège ?")))</f>
        <v>0</v>
      </c>
      <c r="V51" s="91"/>
      <c r="X51" s="63">
        <v>100</v>
      </c>
      <c r="Y51" s="6" t="s">
        <v>128</v>
      </c>
      <c r="Z51" s="5" t="s">
        <v>127</v>
      </c>
    </row>
    <row r="52" spans="1:26" x14ac:dyDescent="0.25">
      <c r="A52" s="11" t="s">
        <v>1</v>
      </c>
      <c r="B52" s="12"/>
      <c r="C52" s="12"/>
      <c r="D52" s="23" t="s">
        <v>12</v>
      </c>
      <c r="E52" s="24"/>
      <c r="F52" s="27" t="s">
        <v>8</v>
      </c>
      <c r="G52" s="47">
        <f>IF(NOT(D52="Oui"),0,7000)</f>
        <v>0</v>
      </c>
      <c r="H52" s="37" t="s">
        <v>8</v>
      </c>
      <c r="I52" s="90">
        <f>IF(NOT(D52="OUI"),0,IF(B46="Oui",G52*(1-I45/100),IF(B46="Non",G52*(1-I44/100),"Siège ?")))</f>
        <v>0</v>
      </c>
      <c r="J52" s="91"/>
      <c r="K52" s="63">
        <f>IF(AND(D52="Oui",B59="Conforme aux Règles du Wargame"),1,0)</f>
        <v>0</v>
      </c>
      <c r="L52" s="63">
        <f>IF(AND(P52="Oui",N59="Conforme aux Règles du Wargame"),1,0)</f>
        <v>0</v>
      </c>
      <c r="M52" s="11" t="s">
        <v>1</v>
      </c>
      <c r="N52" s="12"/>
      <c r="O52" s="12"/>
      <c r="P52" s="23" t="s">
        <v>12</v>
      </c>
      <c r="Q52" s="24"/>
      <c r="R52" s="27" t="s">
        <v>8</v>
      </c>
      <c r="S52" s="47">
        <f>IF(NOT(P52="Oui"),0,7000)</f>
        <v>0</v>
      </c>
      <c r="T52" s="37" t="s">
        <v>8</v>
      </c>
      <c r="U52" s="90">
        <f>IF(NOT(P52="OUI"),0,IF(N46="Oui",S52*(1-U45/100),IF(N46="Non",S52*(1-U44/100),"Siège ?")))</f>
        <v>0</v>
      </c>
      <c r="V52" s="91"/>
      <c r="X52" s="63">
        <v>95</v>
      </c>
      <c r="Y52" s="5"/>
      <c r="Z52" s="5" t="s">
        <v>133</v>
      </c>
    </row>
    <row r="53" spans="1:26" x14ac:dyDescent="0.25">
      <c r="A53" s="11" t="s">
        <v>3</v>
      </c>
      <c r="B53" s="12"/>
      <c r="C53" s="12"/>
      <c r="D53" s="23" t="s">
        <v>11</v>
      </c>
      <c r="E53" s="24"/>
      <c r="F53" s="27" t="s">
        <v>8</v>
      </c>
      <c r="G53" s="47">
        <f>IF(NOT(D53="Oui"),0,3000)</f>
        <v>3000</v>
      </c>
      <c r="H53" s="37" t="s">
        <v>8</v>
      </c>
      <c r="I53" s="90">
        <f>IF(NOT(D53="OUI"),0,IF(B46="Oui",G53*(1-I45/100),IF(B46="Non",G53*(1-I44/100),"Siège ?")))</f>
        <v>3000</v>
      </c>
      <c r="J53" s="91"/>
      <c r="K53" s="63">
        <f>IF(AND(D53="Oui",B59="Conforme aux Règles du Wargame"),1,0)</f>
        <v>1</v>
      </c>
      <c r="L53" s="63">
        <f>IF(AND(P53="Oui",N59="Conforme aux Règles du Wargame"),1,0)</f>
        <v>1</v>
      </c>
      <c r="M53" s="11" t="s">
        <v>3</v>
      </c>
      <c r="N53" s="12"/>
      <c r="O53" s="12"/>
      <c r="P53" s="23" t="s">
        <v>11</v>
      </c>
      <c r="Q53" s="24"/>
      <c r="R53" s="27" t="s">
        <v>8</v>
      </c>
      <c r="S53" s="47">
        <f>IF(NOT(P53="Oui"),0,3000)</f>
        <v>3000</v>
      </c>
      <c r="T53" s="37" t="s">
        <v>8</v>
      </c>
      <c r="U53" s="90">
        <f>IF(NOT(P53="OUI"),0,IF(N46="Oui",S53*(1-U45/100),IF(N46="Non",S53*(1-U44/100),"Siège ?")))</f>
        <v>3000</v>
      </c>
      <c r="V53" s="91"/>
      <c r="X53" s="63">
        <v>90</v>
      </c>
      <c r="Y53" s="3" t="s">
        <v>41</v>
      </c>
      <c r="Z53" s="5" t="s">
        <v>114</v>
      </c>
    </row>
    <row r="54" spans="1:26" x14ac:dyDescent="0.25">
      <c r="A54" s="11" t="s">
        <v>4</v>
      </c>
      <c r="B54" s="12"/>
      <c r="C54" s="12"/>
      <c r="D54" s="23" t="s">
        <v>11</v>
      </c>
      <c r="E54" s="24"/>
      <c r="F54" s="32"/>
      <c r="G54" s="32"/>
      <c r="H54" s="29"/>
      <c r="I54" s="95"/>
      <c r="J54" s="96"/>
      <c r="K54" s="63">
        <f>IF(AND(D54="Oui",B59="Conforme aux Règles du Wargame",B46="Non"),1,0)</f>
        <v>1</v>
      </c>
      <c r="L54" s="63">
        <f>IF(AND(P54="Oui",N59="Conforme aux Règles du Wargame",N46="Non"),1,0)</f>
        <v>1</v>
      </c>
      <c r="M54" s="11" t="s">
        <v>4</v>
      </c>
      <c r="N54" s="12"/>
      <c r="O54" s="12"/>
      <c r="P54" s="23" t="s">
        <v>11</v>
      </c>
      <c r="Q54" s="24"/>
      <c r="R54" s="32"/>
      <c r="S54" s="32"/>
      <c r="T54" s="29"/>
      <c r="U54" s="95"/>
      <c r="V54" s="96"/>
      <c r="X54" s="63">
        <v>85</v>
      </c>
      <c r="Y54" t="s">
        <v>44</v>
      </c>
      <c r="Z54" s="5" t="s">
        <v>119</v>
      </c>
    </row>
    <row r="55" spans="1:26" x14ac:dyDescent="0.25">
      <c r="A55" s="11" t="s">
        <v>5</v>
      </c>
      <c r="B55" s="12"/>
      <c r="C55" s="12"/>
      <c r="D55" s="23" t="s">
        <v>11</v>
      </c>
      <c r="E55" s="24"/>
      <c r="F55" s="32"/>
      <c r="G55" s="32"/>
      <c r="H55" s="29"/>
      <c r="I55" s="95"/>
      <c r="J55" s="96"/>
      <c r="K55" s="63">
        <f>IF(AND(D55="Oui",B59="Conforme aux Règles du Wargame",B46="Non"),1,0)</f>
        <v>1</v>
      </c>
      <c r="L55" s="63">
        <f>IF(AND(P55="Oui",N59="Conforme aux Règles du Wargame",N46="Non"),1,0)</f>
        <v>0</v>
      </c>
      <c r="M55" s="11" t="s">
        <v>5</v>
      </c>
      <c r="N55" s="12"/>
      <c r="O55" s="12"/>
      <c r="P55" s="23" t="s">
        <v>12</v>
      </c>
      <c r="Q55" s="24"/>
      <c r="R55" s="32"/>
      <c r="S55" s="32"/>
      <c r="T55" s="29"/>
      <c r="U55" s="95"/>
      <c r="V55" s="96"/>
      <c r="X55" s="63">
        <v>80</v>
      </c>
      <c r="Y55" s="5" t="s">
        <v>118</v>
      </c>
      <c r="Z55" s="5" t="s">
        <v>103</v>
      </c>
    </row>
    <row r="56" spans="1:26" x14ac:dyDescent="0.25">
      <c r="A56" s="11" t="s">
        <v>156</v>
      </c>
      <c r="B56" s="12"/>
      <c r="C56" s="12"/>
      <c r="D56" s="23" t="s">
        <v>11</v>
      </c>
      <c r="E56" s="24"/>
      <c r="F56" s="32"/>
      <c r="G56" s="32"/>
      <c r="H56" s="29"/>
      <c r="I56" s="97"/>
      <c r="J56" s="98"/>
      <c r="K56" s="63">
        <f>IF(AND(D56="Oui",B59="Conforme aux Règles du Wargame",B46="Non"),1,0)</f>
        <v>1</v>
      </c>
      <c r="L56" s="63">
        <f>IF(AND(P56="Oui",N59="Conforme aux Règles du Wargame",N46="Non"),1,0)</f>
        <v>0</v>
      </c>
      <c r="M56" s="11" t="s">
        <v>156</v>
      </c>
      <c r="N56" s="12"/>
      <c r="O56" s="12"/>
      <c r="P56" s="23" t="s">
        <v>12</v>
      </c>
      <c r="Q56" s="24"/>
      <c r="R56" s="32"/>
      <c r="S56" s="32"/>
      <c r="T56" s="29"/>
      <c r="U56" s="97"/>
      <c r="V56" s="98"/>
      <c r="X56" s="63">
        <v>75</v>
      </c>
      <c r="Y56" s="5" t="s">
        <v>119</v>
      </c>
      <c r="Z56" s="5" t="s">
        <v>91</v>
      </c>
    </row>
    <row r="57" spans="1:26" x14ac:dyDescent="0.25">
      <c r="A57" s="9" t="s">
        <v>161</v>
      </c>
      <c r="B57" s="10"/>
      <c r="C57" s="10"/>
      <c r="D57" s="9"/>
      <c r="E57" s="16"/>
      <c r="F57" s="48" t="s">
        <v>8</v>
      </c>
      <c r="G57" s="30">
        <f>SUM(G49:G53)</f>
        <v>13000</v>
      </c>
      <c r="H57" s="41" t="s">
        <v>160</v>
      </c>
      <c r="I57" s="41"/>
      <c r="J57" s="42"/>
      <c r="M57" s="9" t="s">
        <v>161</v>
      </c>
      <c r="N57" s="10"/>
      <c r="O57" s="10"/>
      <c r="P57" s="9"/>
      <c r="Q57" s="16"/>
      <c r="R57" s="48" t="s">
        <v>8</v>
      </c>
      <c r="S57" s="30">
        <f>SUM(S49:S53)</f>
        <v>8000</v>
      </c>
      <c r="T57" s="41" t="s">
        <v>160</v>
      </c>
      <c r="U57" s="41"/>
      <c r="V57" s="42"/>
      <c r="X57" s="63">
        <v>70</v>
      </c>
      <c r="Y57" s="6" t="s">
        <v>120</v>
      </c>
      <c r="Z57" s="5" t="s">
        <v>95</v>
      </c>
    </row>
    <row r="58" spans="1:26" x14ac:dyDescent="0.25">
      <c r="A58" s="13" t="s">
        <v>162</v>
      </c>
      <c r="B58" s="14"/>
      <c r="C58" s="14"/>
      <c r="D58" s="13"/>
      <c r="E58" s="15"/>
      <c r="F58" s="49" t="s">
        <v>8</v>
      </c>
      <c r="G58" s="31">
        <f>IF(B59="Conforme aux Règles du Wargame",SUM(I49:I53),0)</f>
        <v>13000</v>
      </c>
      <c r="H58" s="43" t="s">
        <v>160</v>
      </c>
      <c r="I58" s="43"/>
      <c r="J58" s="44"/>
      <c r="M58" s="13" t="s">
        <v>162</v>
      </c>
      <c r="N58" s="14"/>
      <c r="O58" s="14"/>
      <c r="P58" s="13"/>
      <c r="Q58" s="15"/>
      <c r="R58" s="49" t="s">
        <v>8</v>
      </c>
      <c r="S58" s="31">
        <f>IF(N59="Conforme aux Règles du Wargame",SUM(U49:U53),0)</f>
        <v>8000</v>
      </c>
      <c r="T58" s="43" t="s">
        <v>160</v>
      </c>
      <c r="U58" s="43"/>
      <c r="V58" s="44"/>
      <c r="X58" s="63">
        <v>65</v>
      </c>
      <c r="Y58" s="6" t="s">
        <v>121</v>
      </c>
      <c r="Z58" s="5" t="s">
        <v>86</v>
      </c>
    </row>
    <row r="59" spans="1:26" x14ac:dyDescent="0.25">
      <c r="A59" s="22" t="s">
        <v>150</v>
      </c>
      <c r="B59" s="92" t="str">
        <f>IF(B43="Ville non définie !","Ville non définie !",IF(B43="Erreur de saisie !","Erreur de saisie !",IF(B45&gt;B44,"Refusé : Trop de bâtiments !",IF(AND(D50="OUI",NOT(OR(B43="Ville majeure",B43="Capitale"))),"Refusé : Palais valide que dans les Capitales ou les Villes majeures !", "Conforme aux Règles du Wargame"))))</f>
        <v>Conforme aux Règles du Wargame</v>
      </c>
      <c r="C59" s="93"/>
      <c r="D59" s="93"/>
      <c r="E59" s="93"/>
      <c r="F59" s="93"/>
      <c r="G59" s="93"/>
      <c r="H59" s="93"/>
      <c r="I59" s="93"/>
      <c r="J59" s="94"/>
      <c r="M59" s="22" t="s">
        <v>150</v>
      </c>
      <c r="N59" s="92" t="str">
        <f>IF(N43="Ville non définie !","Ville non définie !",IF(N43="Erreur de saisie !","Erreur de saisie !",IF(N45&gt;N44,"Refusé : Trop de bâtiments !",IF(AND(P50="OUI",NOT(OR(N43="Ville majeure",N43="Capitale"))),"Refusé : Palais valide que dans les Capitales ou les Villes majeures !", "Conforme aux Règles du Wargame"))))</f>
        <v>Conforme aux Règles du Wargame</v>
      </c>
      <c r="O59" s="93"/>
      <c r="P59" s="93"/>
      <c r="Q59" s="93"/>
      <c r="R59" s="93"/>
      <c r="S59" s="93"/>
      <c r="T59" s="93"/>
      <c r="U59" s="93"/>
      <c r="V59" s="94"/>
      <c r="X59" s="63">
        <v>60</v>
      </c>
      <c r="Y59" s="5"/>
      <c r="Z59" s="5" t="s">
        <v>111</v>
      </c>
    </row>
    <row r="60" spans="1:26" x14ac:dyDescent="0.25">
      <c r="X60" s="63">
        <v>55</v>
      </c>
      <c r="Y60" s="3" t="s">
        <v>42</v>
      </c>
      <c r="Z60" s="5" t="s">
        <v>87</v>
      </c>
    </row>
    <row r="61" spans="1:26" x14ac:dyDescent="0.25">
      <c r="X61" s="63">
        <v>50</v>
      </c>
      <c r="Y61" t="s">
        <v>43</v>
      </c>
      <c r="Z61" s="5" t="s">
        <v>20</v>
      </c>
    </row>
    <row r="62" spans="1:26" x14ac:dyDescent="0.25">
      <c r="X62" s="63">
        <v>45</v>
      </c>
      <c r="Y62" s="5" t="s">
        <v>122</v>
      </c>
      <c r="Z62" s="5" t="s">
        <v>122</v>
      </c>
    </row>
    <row r="63" spans="1:26" x14ac:dyDescent="0.25">
      <c r="A63" s="50" t="s">
        <v>183</v>
      </c>
      <c r="B63" s="54" t="s">
        <v>135</v>
      </c>
      <c r="D63" s="9"/>
      <c r="E63" s="10"/>
      <c r="F63" s="10"/>
      <c r="G63" s="17" t="s">
        <v>151</v>
      </c>
      <c r="H63" s="99">
        <v>250</v>
      </c>
      <c r="I63" s="100"/>
      <c r="J63" s="40" t="s">
        <v>152</v>
      </c>
      <c r="M63" s="50" t="s">
        <v>184</v>
      </c>
      <c r="N63" s="54"/>
      <c r="P63" s="9"/>
      <c r="Q63" s="10"/>
      <c r="R63" s="10"/>
      <c r="S63" s="17" t="s">
        <v>151</v>
      </c>
      <c r="T63" s="99">
        <v>250</v>
      </c>
      <c r="U63" s="100"/>
      <c r="V63" s="40" t="s">
        <v>152</v>
      </c>
      <c r="X63" s="63">
        <v>40</v>
      </c>
      <c r="Y63" s="5" t="s">
        <v>123</v>
      </c>
      <c r="Z63" s="5" t="s">
        <v>82</v>
      </c>
    </row>
    <row r="64" spans="1:26" x14ac:dyDescent="0.25">
      <c r="A64" s="45" t="s">
        <v>15</v>
      </c>
      <c r="B64" s="51" t="str">
        <f>IF(B63="","Ville non définie !",IF(OR(B63=Z4,B63=Z5),"Capitale",IF(OR(B63=Z8,B63=Z9,B63=Z10,B63=Z11,B63=Z12,B63=Z13,B63=Z14,B63=Z15,B63=Z16,B63=Z17,B63=Z18,B63=Z19,B63=Z20,B63=Z21,B63=Z22,B63=Z23,B63=Z24,B63=Z25,B63=Z26),"Ville majeure",IF(OR(B63=Z29,B63=Z30,B63=Z31,B63=Z32,B63=Z33,B63=Z34,B63=Z35,B63=Z36,B63=Z37,B63=Z38,B63=Z39,B63=Z40,B63=Z41,B63=Z42,B63=Z43,B63=Z44,B63=Z45,B63=Z46,B63=Z47,B63=Z48,B63=Z49,B63=Z50,B63=Z51,B63=Z52,B63=Z53,B63=Z54,B63=Z55,B63=Z56,B63=Z57,B63=Z58,B63=Z59,B63=Z60,B63=Z61,B63=Z62,B63=Z63,B63=Z64,B63=Z65,B63=Z66,B63=Z67,B63=Z68,B63=Z69,B63=Z70,B63=Z71),"Ville mineure",IF(OR(B63=Z74,B63=Z75,B63=Z76,B63=Z77,B63=Z78,B63=Z79,B63=Z80,B63=Z81,B63=Z82,B63=Z83,B63=Z84,B63=Z85,B63=Z86,B63=Z87,B63=Z88,B63=Z89,B63=Z90,B63=Z91,B63=Z92,B63=Z93,B63=Z94,B63=Z95,B63=Z96,B63=Z97,B63=Z98,B63=Z99,B63=Z100,B63=Z101,B63=Z102,B63=Z103,B63=Z104,B63=Z105,B63=Z106,B63=Z107,B63=Z108,B63=Z109,B63=Z110,B63=Z111,B63=Z112,B63=Z113,B63=Z114),"Bourg","Erreur de saisie !")))))</f>
        <v>Bourg</v>
      </c>
      <c r="D64" s="11"/>
      <c r="E64" s="12"/>
      <c r="F64" s="12"/>
      <c r="G64" s="21" t="s">
        <v>164</v>
      </c>
      <c r="H64" s="37" t="s">
        <v>8</v>
      </c>
      <c r="I64" s="33">
        <f>SUM(IF(B64="Capitale",4,IF(B64="Ville majeure",3,IF(B64="Ville mineure",3,IF(B64="Bourg",2,0)))),IF(D71="Oui",1,0),IF(H63&gt;160,0,IF(H63&gt;80,-1,-2)))</f>
        <v>2</v>
      </c>
      <c r="J64" s="34"/>
      <c r="M64" s="45" t="s">
        <v>15</v>
      </c>
      <c r="N64" s="51" t="str">
        <f>IF(N63="","Ville non définie !",IF(OR(N63=Z4,N63=Z5),"Capitale",IF(OR(N63=Z8,N63=Z9,N63=Z10,N63=Z11,N63=Z12,N63=Z13,N63=Z14,N63=Z15,N63=Z16,N63=Z17,N63=Z18,N63=Z19,N63=Z20,N63=Z21,N63=Z22,N63=Z23,N63=Z24,N63=Z25,N63=Z26),"Ville majeure",IF(OR(N63=Z29,N63=Z30,N63=Z31,N63=Z32,N63=Z33,N63=Z34,N63=Z35,N63=Z36,N63=Z37,N63=Z38,N63=Z39,N63=Z40,N63=Z41,N63=Z42,N63=Z43,N63=Z44,N63=Z45,N63=Z46,N63=Z47,N63=Z48,N63=Z49,N63=Z50,N63=Z51,N63=Z52,N63=Z53,N63=Z54,N63=Z55,N63=Z56,N63=Z57,N63=Z58,N63=Z59,N63=Z60,N63=Z61,N63=Z62,N63=Z63,N63=Z64,N63=Z65,N63=Z66,N63=Z67,N63=Z68,N63=Z69,N63=Z70,N63=Z71),"Ville mineure",IF(OR(N63=Z74,N63=Z75,N63=Z76,N63=Z77,N63=Z78,N63=Z79,N63=Z80,N63=Z81,N63=Z82,N63=Z83,N63=Z84,N63=Z85,N63=Z86,N63=Z87,N63=Z88,N63=Z89,N63=Z90,N63=Z91,N63=Z92,N63=Z93,N63=Z94,N63=Z95,N63=Z96,N63=Z97,N63=Z98,N63=Z99,N63=Z100,N63=Z101,N63=Z102,N63=Z103,N63=Z104,N63=Z105,N63=Z106,N63=Z107,N63=Z108,N63=Z109,N63=Z110,N63=Z111,N63=Z112,N63=Z113,N63=Z114),"Bourg","Erreur de saisie !")))))</f>
        <v>Ville non définie !</v>
      </c>
      <c r="P64" s="11"/>
      <c r="Q64" s="12"/>
      <c r="R64" s="12"/>
      <c r="S64" s="21" t="s">
        <v>164</v>
      </c>
      <c r="T64" s="37" t="s">
        <v>8</v>
      </c>
      <c r="U64" s="33">
        <f>SUM(IF(N64="Capitale",4,IF(N64="Ville majeure",3,IF(N64="Ville mineure",3,IF(N64="Bourg",2,0)))),IF(P71="Oui",1,0),IF(T63&gt;160,0,IF(T63&gt;80,-1,-2)))</f>
        <v>0</v>
      </c>
      <c r="V64" s="34"/>
      <c r="X64" s="63">
        <v>35</v>
      </c>
      <c r="Y64" s="6" t="s">
        <v>124</v>
      </c>
      <c r="Z64" s="5" t="s">
        <v>123</v>
      </c>
    </row>
    <row r="65" spans="1:26" x14ac:dyDescent="0.25">
      <c r="A65" s="45" t="s">
        <v>14</v>
      </c>
      <c r="B65" s="52">
        <f>IF(B64="Capitale",7,IF(B64="Ville majeure",6,IF(B64="Ville mineure",4,IF(B64="Bourg",2,0))))</f>
        <v>2</v>
      </c>
      <c r="D65" s="11"/>
      <c r="E65" s="12"/>
      <c r="F65" s="12"/>
      <c r="G65" s="21" t="s">
        <v>155</v>
      </c>
      <c r="H65" s="37" t="s">
        <v>13</v>
      </c>
      <c r="I65" s="33">
        <f>IF(H63&lt;150,100,250-H63)</f>
        <v>0</v>
      </c>
      <c r="J65" s="34" t="s">
        <v>153</v>
      </c>
      <c r="M65" s="45" t="s">
        <v>14</v>
      </c>
      <c r="N65" s="52">
        <f>IF(N64="Capitale",7,IF(N64="Ville majeure",6,IF(N64="Ville mineure",4,IF(N64="Bourg",2,0))))</f>
        <v>0</v>
      </c>
      <c r="P65" s="11"/>
      <c r="Q65" s="12"/>
      <c r="R65" s="12"/>
      <c r="S65" s="21" t="s">
        <v>155</v>
      </c>
      <c r="T65" s="37" t="s">
        <v>13</v>
      </c>
      <c r="U65" s="33">
        <f>IF(T63&lt;150,100,250-T63)</f>
        <v>0</v>
      </c>
      <c r="V65" s="34" t="s">
        <v>153</v>
      </c>
      <c r="X65" s="63">
        <v>30</v>
      </c>
      <c r="Y65" s="6" t="s">
        <v>125</v>
      </c>
      <c r="Z65" s="5" t="s">
        <v>130</v>
      </c>
    </row>
    <row r="66" spans="1:26" x14ac:dyDescent="0.25">
      <c r="A66" s="45" t="s">
        <v>149</v>
      </c>
      <c r="B66" s="52">
        <f>COUNTIF(D71:D77,"Oui")</f>
        <v>2</v>
      </c>
      <c r="D66" s="13"/>
      <c r="E66" s="14"/>
      <c r="F66" s="14"/>
      <c r="G66" s="18" t="s">
        <v>154</v>
      </c>
      <c r="H66" s="38" t="s">
        <v>13</v>
      </c>
      <c r="I66" s="35">
        <f>IF(H63&lt;150,100,300-H63-0.5*I65)</f>
        <v>50</v>
      </c>
      <c r="J66" s="36" t="s">
        <v>153</v>
      </c>
      <c r="M66" s="45" t="s">
        <v>149</v>
      </c>
      <c r="N66" s="52">
        <f>COUNTIF(P71:P77,"Oui")</f>
        <v>3</v>
      </c>
      <c r="P66" s="13"/>
      <c r="Q66" s="14"/>
      <c r="R66" s="14"/>
      <c r="S66" s="18" t="s">
        <v>154</v>
      </c>
      <c r="T66" s="38" t="s">
        <v>13</v>
      </c>
      <c r="U66" s="35">
        <f>IF(T63&lt;150,100,300-T63-0.5*U65)</f>
        <v>50</v>
      </c>
      <c r="V66" s="36" t="s">
        <v>153</v>
      </c>
      <c r="X66" s="63">
        <v>25</v>
      </c>
      <c r="Y66" s="5"/>
      <c r="Z66" s="5" t="s">
        <v>140</v>
      </c>
    </row>
    <row r="67" spans="1:26" x14ac:dyDescent="0.25">
      <c r="A67" s="46" t="s">
        <v>204</v>
      </c>
      <c r="B67" s="53" t="s">
        <v>12</v>
      </c>
      <c r="M67" s="46" t="s">
        <v>204</v>
      </c>
      <c r="N67" s="53" t="s">
        <v>12</v>
      </c>
      <c r="X67" s="63">
        <v>20</v>
      </c>
      <c r="Y67" s="3" t="s">
        <v>49</v>
      </c>
      <c r="Z67" s="5" t="s">
        <v>25</v>
      </c>
    </row>
    <row r="68" spans="1:26" x14ac:dyDescent="0.25">
      <c r="D68" s="84" t="s">
        <v>10</v>
      </c>
      <c r="E68" s="86"/>
      <c r="F68" s="84" t="s">
        <v>7</v>
      </c>
      <c r="G68" s="85"/>
      <c r="H68" s="84" t="s">
        <v>158</v>
      </c>
      <c r="I68" s="85"/>
      <c r="J68" s="86"/>
      <c r="P68" s="84" t="s">
        <v>10</v>
      </c>
      <c r="Q68" s="86"/>
      <c r="R68" s="84" t="s">
        <v>7</v>
      </c>
      <c r="S68" s="85"/>
      <c r="T68" s="84" t="s">
        <v>158</v>
      </c>
      <c r="U68" s="85"/>
      <c r="V68" s="86"/>
      <c r="X68" s="63">
        <v>15</v>
      </c>
      <c r="Y68" t="s">
        <v>50</v>
      </c>
      <c r="Z68" s="5" t="s">
        <v>115</v>
      </c>
    </row>
    <row r="69" spans="1:26" x14ac:dyDescent="0.25">
      <c r="D69" s="87" t="s">
        <v>6</v>
      </c>
      <c r="E69" s="89"/>
      <c r="F69" s="87" t="s">
        <v>9</v>
      </c>
      <c r="G69" s="88"/>
      <c r="H69" s="87" t="s">
        <v>157</v>
      </c>
      <c r="I69" s="88"/>
      <c r="J69" s="89"/>
      <c r="P69" s="87" t="s">
        <v>6</v>
      </c>
      <c r="Q69" s="89"/>
      <c r="R69" s="87" t="s">
        <v>9</v>
      </c>
      <c r="S69" s="88"/>
      <c r="T69" s="87" t="s">
        <v>157</v>
      </c>
      <c r="U69" s="88"/>
      <c r="V69" s="89"/>
      <c r="X69" s="63">
        <v>10</v>
      </c>
      <c r="Y69" s="5" t="s">
        <v>114</v>
      </c>
      <c r="Z69" s="5" t="s">
        <v>83</v>
      </c>
    </row>
    <row r="70" spans="1:26" x14ac:dyDescent="0.25">
      <c r="A70" s="9" t="s">
        <v>0</v>
      </c>
      <c r="B70" s="10"/>
      <c r="C70" s="10"/>
      <c r="D70" s="20" t="s">
        <v>13</v>
      </c>
      <c r="E70" s="16"/>
      <c r="F70" s="25" t="s">
        <v>8</v>
      </c>
      <c r="G70" s="26">
        <f>IF(B64="Capitale",20000,IF(B64="Ville majeure",15000,IF(B64="Ville mineure",10000,IF(B64="Bourg",5000,0))))</f>
        <v>5000</v>
      </c>
      <c r="H70" s="39" t="s">
        <v>8</v>
      </c>
      <c r="I70" s="90">
        <f>IF(B67="Oui",G70*(1-I66/100),IF(B67="Non",G70*(1-I65/100),"Siège ?"))</f>
        <v>5000</v>
      </c>
      <c r="J70" s="91"/>
      <c r="K70" s="63">
        <f>IF(AND(NOT(B63=""),B80="Conforme aux Règles du Wargame"),1,0)</f>
        <v>1</v>
      </c>
      <c r="L70" s="63">
        <f>IF(AND(NOT(N63=""),N80="Conforme aux Règles du Wargame"),1,0)</f>
        <v>0</v>
      </c>
      <c r="M70" s="9" t="s">
        <v>0</v>
      </c>
      <c r="N70" s="10"/>
      <c r="O70" s="10"/>
      <c r="P70" s="20" t="s">
        <v>13</v>
      </c>
      <c r="Q70" s="16"/>
      <c r="R70" s="25" t="s">
        <v>8</v>
      </c>
      <c r="S70" s="26">
        <f>IF(N64="Capitale",20000,IF(N64="Ville majeure",15000,IF(N64="Ville mineure",10000,IF(N64="Bourg",5000,0))))</f>
        <v>0</v>
      </c>
      <c r="T70" s="39" t="s">
        <v>8</v>
      </c>
      <c r="U70" s="90">
        <f>IF(N67="Oui",S70*(1-U66/100),IF(N67="Non",S70*(1-U65/100),"Siège ?"))</f>
        <v>0</v>
      </c>
      <c r="V70" s="91"/>
      <c r="X70" s="63">
        <v>5</v>
      </c>
      <c r="Y70" s="5" t="s">
        <v>115</v>
      </c>
      <c r="Z70" s="5" t="s">
        <v>99</v>
      </c>
    </row>
    <row r="71" spans="1:26" x14ac:dyDescent="0.25">
      <c r="A71" s="11" t="s">
        <v>147</v>
      </c>
      <c r="B71" s="12"/>
      <c r="C71" s="12"/>
      <c r="D71" s="23" t="s">
        <v>12</v>
      </c>
      <c r="E71" s="24"/>
      <c r="F71" s="27" t="s">
        <v>8</v>
      </c>
      <c r="G71" s="47">
        <f>IF(NOT(D71="Oui"),0,20000)</f>
        <v>0</v>
      </c>
      <c r="H71" s="37" t="s">
        <v>8</v>
      </c>
      <c r="I71" s="90">
        <f>IF(NOT(D71="OUI"),0,IF(B67="Oui",G71*(1-I66/100),IF(B67="Non",G71*(1-I65/100),"Siège ?")))</f>
        <v>0</v>
      </c>
      <c r="J71" s="91"/>
      <c r="K71" s="63">
        <f>IF(AND(D71="Oui",B80="Conforme aux Règles du Wargame"),1,0)</f>
        <v>0</v>
      </c>
      <c r="L71" s="63">
        <f>IF(AND(P71="Oui",N80="Conforme aux Règles du Wargame"),1,0)</f>
        <v>0</v>
      </c>
      <c r="M71" s="11" t="s">
        <v>147</v>
      </c>
      <c r="N71" s="12"/>
      <c r="O71" s="12"/>
      <c r="P71" s="23" t="s">
        <v>12</v>
      </c>
      <c r="Q71" s="24"/>
      <c r="R71" s="27" t="s">
        <v>8</v>
      </c>
      <c r="S71" s="47">
        <f>IF(NOT(P71="Oui"),0,20000)</f>
        <v>0</v>
      </c>
      <c r="T71" s="37" t="s">
        <v>8</v>
      </c>
      <c r="U71" s="90">
        <f>IF(NOT(P71="OUI"),0,IF(N67="Oui",S71*(1-U66/100),IF(N67="Non",S71*(1-U65/100),"Siège ?")))</f>
        <v>0</v>
      </c>
      <c r="V71" s="91"/>
      <c r="X71" s="63">
        <v>0</v>
      </c>
      <c r="Y71" s="6" t="s">
        <v>116</v>
      </c>
      <c r="Z71" s="5" t="s">
        <v>21</v>
      </c>
    </row>
    <row r="72" spans="1:26" x14ac:dyDescent="0.25">
      <c r="A72" s="11" t="s">
        <v>2</v>
      </c>
      <c r="B72" s="12"/>
      <c r="C72" s="12"/>
      <c r="D72" s="23" t="s">
        <v>12</v>
      </c>
      <c r="E72" s="24"/>
      <c r="F72" s="27" t="s">
        <v>8</v>
      </c>
      <c r="G72" s="47">
        <f>IF(NOT(D72="Oui"),0,15000)</f>
        <v>0</v>
      </c>
      <c r="H72" s="37" t="s">
        <v>8</v>
      </c>
      <c r="I72" s="90">
        <f>IF(NOT(D72="OUI"),0,IF(B67="Oui",G72*(1-I66/100),IF(B67="Non",G72*(1-I65/100),"Siège ?")))</f>
        <v>0</v>
      </c>
      <c r="J72" s="91"/>
      <c r="K72" s="63">
        <f>IF(AND(D72="Oui",B80="Conforme aux Règles du Wargame"),1,0)</f>
        <v>0</v>
      </c>
      <c r="L72" s="63">
        <f>IF(AND(P72="Oui",N80="Conforme aux Règles du Wargame"),1,0)</f>
        <v>0</v>
      </c>
      <c r="M72" s="11" t="s">
        <v>2</v>
      </c>
      <c r="N72" s="12"/>
      <c r="O72" s="12"/>
      <c r="P72" s="23" t="s">
        <v>12</v>
      </c>
      <c r="Q72" s="24"/>
      <c r="R72" s="27" t="s">
        <v>8</v>
      </c>
      <c r="S72" s="47">
        <f>IF(NOT(P72="Oui"),0,15000)</f>
        <v>0</v>
      </c>
      <c r="T72" s="37" t="s">
        <v>8</v>
      </c>
      <c r="U72" s="90">
        <f>IF(NOT(P72="OUI"),0,IF(N67="Oui",S72*(1-U66/100),IF(N67="Non",S72*(1-U65/100),"Siège ?")))</f>
        <v>0</v>
      </c>
      <c r="V72" s="91"/>
      <c r="Y72" s="6" t="s">
        <v>117</v>
      </c>
    </row>
    <row r="73" spans="1:26" x14ac:dyDescent="0.25">
      <c r="A73" s="11" t="s">
        <v>1</v>
      </c>
      <c r="B73" s="12"/>
      <c r="C73" s="12"/>
      <c r="D73" s="23" t="s">
        <v>11</v>
      </c>
      <c r="E73" s="24"/>
      <c r="F73" s="27" t="s">
        <v>8</v>
      </c>
      <c r="G73" s="47">
        <f>IF(NOT(D73="Oui"),0,7000)</f>
        <v>7000</v>
      </c>
      <c r="H73" s="37" t="s">
        <v>8</v>
      </c>
      <c r="I73" s="90">
        <f>IF(NOT(D73="OUI"),0,IF(B67="Oui",G73*(1-I66/100),IF(B67="Non",G73*(1-I65/100),"Siège ?")))</f>
        <v>7000</v>
      </c>
      <c r="J73" s="91"/>
      <c r="K73" s="63">
        <f>IF(AND(D73="Oui",B80="Conforme aux Règles du Wargame"),1,0)</f>
        <v>1</v>
      </c>
      <c r="L73" s="63">
        <f>IF(AND(P73="Oui",N80="Conforme aux Règles du Wargame"),1,0)</f>
        <v>0</v>
      </c>
      <c r="M73" s="11" t="s">
        <v>1</v>
      </c>
      <c r="N73" s="12"/>
      <c r="O73" s="12"/>
      <c r="P73" s="23" t="s">
        <v>11</v>
      </c>
      <c r="Q73" s="24"/>
      <c r="R73" s="27" t="s">
        <v>8</v>
      </c>
      <c r="S73" s="47">
        <f>IF(NOT(P73="Oui"),0,7000)</f>
        <v>7000</v>
      </c>
      <c r="T73" s="37" t="s">
        <v>8</v>
      </c>
      <c r="U73" s="90">
        <f>IF(NOT(P73="OUI"),0,IF(N67="Oui",S73*(1-U66/100),IF(N67="Non",S73*(1-U65/100),"Siège ?")))</f>
        <v>7000</v>
      </c>
      <c r="V73" s="91"/>
      <c r="Y73" s="5"/>
      <c r="Z73" s="3" t="s">
        <v>146</v>
      </c>
    </row>
    <row r="74" spans="1:26" x14ac:dyDescent="0.25">
      <c r="A74" s="11" t="s">
        <v>3</v>
      </c>
      <c r="B74" s="12"/>
      <c r="C74" s="12"/>
      <c r="D74" s="23" t="s">
        <v>12</v>
      </c>
      <c r="E74" s="24"/>
      <c r="F74" s="27" t="s">
        <v>8</v>
      </c>
      <c r="G74" s="47">
        <f>IF(NOT(D74="Oui"),0,3000)</f>
        <v>0</v>
      </c>
      <c r="H74" s="37" t="s">
        <v>8</v>
      </c>
      <c r="I74" s="90">
        <f>IF(NOT(D74="OUI"),0,IF(B67="Oui",G74*(1-I66/100),IF(B67="Non",G74*(1-I65/100),"Siège ?")))</f>
        <v>0</v>
      </c>
      <c r="J74" s="91"/>
      <c r="K74" s="63">
        <f>IF(AND(D74="Oui",B80="Conforme aux Règles du Wargame"),1,0)</f>
        <v>0</v>
      </c>
      <c r="L74" s="63">
        <f>IF(AND(P74="Oui",N80="Conforme aux Règles du Wargame"),1,0)</f>
        <v>0</v>
      </c>
      <c r="M74" s="11" t="s">
        <v>3</v>
      </c>
      <c r="N74" s="12"/>
      <c r="O74" s="12"/>
      <c r="P74" s="23" t="s">
        <v>11</v>
      </c>
      <c r="Q74" s="24"/>
      <c r="R74" s="27" t="s">
        <v>8</v>
      </c>
      <c r="S74" s="47">
        <f>IF(NOT(P74="Oui"),0,3000)</f>
        <v>3000</v>
      </c>
      <c r="T74" s="37" t="s">
        <v>8</v>
      </c>
      <c r="U74" s="90">
        <f>IF(NOT(P74="OUI"),0,IF(N67="Oui",S74*(1-U66/100),IF(N67="Non",S74*(1-U65/100),"Siège ?")))</f>
        <v>3000</v>
      </c>
      <c r="V74" s="91"/>
      <c r="X74" s="63" t="str">
        <f>IF(OR(B38="Erreur de saisie !",N38="Erreur de saisie !",B59="Erreur de saisie !",N59="Erreur de saisie !",B80="Erreur de saisie !",N80="Erreur de saisie !",B101="Erreur de saisie !",N101="Erreur de saisie !",B122="Erreur de saisie !",N122="Erreur de saisie !",B143="Erreur de saisie !",N143="Erreur de saisie !"),"Test 1 Erreur","Test 1 OK")</f>
        <v>Test 1 OK</v>
      </c>
      <c r="Y74" s="3" t="s">
        <v>51</v>
      </c>
      <c r="Z74" s="6" t="s">
        <v>108</v>
      </c>
    </row>
    <row r="75" spans="1:26" x14ac:dyDescent="0.25">
      <c r="A75" s="11" t="s">
        <v>4</v>
      </c>
      <c r="B75" s="12"/>
      <c r="C75" s="12"/>
      <c r="D75" s="23" t="s">
        <v>12</v>
      </c>
      <c r="E75" s="24"/>
      <c r="F75" s="32"/>
      <c r="G75" s="32"/>
      <c r="H75" s="29"/>
      <c r="I75" s="95"/>
      <c r="J75" s="96"/>
      <c r="K75" s="63">
        <f>IF(AND(D75="Oui",B80="Conforme aux Règles du Wargame",B67="Non"),1,0)</f>
        <v>0</v>
      </c>
      <c r="L75" s="63">
        <f>IF(AND(P75="Oui",N80="Conforme aux Règles du Wargame",N67="Non"),1,0)</f>
        <v>0</v>
      </c>
      <c r="M75" s="11" t="s">
        <v>4</v>
      </c>
      <c r="N75" s="12"/>
      <c r="O75" s="12"/>
      <c r="P75" s="23" t="s">
        <v>11</v>
      </c>
      <c r="Q75" s="24"/>
      <c r="R75" s="32"/>
      <c r="S75" s="32"/>
      <c r="T75" s="29"/>
      <c r="U75" s="95"/>
      <c r="V75" s="96"/>
      <c r="X75" s="63" t="str">
        <f>IF(COUNTA(W22:W33)-SUMPRODUCT(1/COUNTIF(W22:W33,W22:W33))=0,"Test 2 OK","Test 2 Erreur")</f>
        <v>Test 2 OK</v>
      </c>
      <c r="Y75" t="s">
        <v>52</v>
      </c>
      <c r="Z75" s="6" t="s">
        <v>88</v>
      </c>
    </row>
    <row r="76" spans="1:26" x14ac:dyDescent="0.25">
      <c r="A76" s="11" t="s">
        <v>5</v>
      </c>
      <c r="B76" s="12"/>
      <c r="C76" s="12"/>
      <c r="D76" s="23" t="s">
        <v>11</v>
      </c>
      <c r="E76" s="24"/>
      <c r="F76" s="32"/>
      <c r="G76" s="32"/>
      <c r="H76" s="29"/>
      <c r="I76" s="95"/>
      <c r="J76" s="96"/>
      <c r="K76" s="63">
        <f>IF(AND(D76="Oui",B80="Conforme aux Règles du Wargame",B67="Non"),1,0)</f>
        <v>1</v>
      </c>
      <c r="L76" s="63">
        <f>IF(AND(P76="Oui",N80="Conforme aux Règles du Wargame",N67="Non"),1,0)</f>
        <v>0</v>
      </c>
      <c r="M76" s="11" t="s">
        <v>5</v>
      </c>
      <c r="N76" s="12"/>
      <c r="O76" s="12"/>
      <c r="P76" s="23" t="s">
        <v>12</v>
      </c>
      <c r="Q76" s="24"/>
      <c r="R76" s="32"/>
      <c r="S76" s="32"/>
      <c r="T76" s="29"/>
      <c r="U76" s="95"/>
      <c r="V76" s="96"/>
      <c r="X76" s="63" t="str">
        <f>IF(OR(B38="Refusé : Trop de bâtiments !",N38="Refusé : Trop de bâtiments !",B59="Refusé : Trop de bâtiments !",N59="Refusé : Trop de bâtiments !",B80="Refusé : Trop de bâtiments !",N80="Refusé : Trop de bâtiments !",B101="Refusé : Trop de bâtiments !",N101="Refusé : Trop de bâtiments !",B122="Refusé : Trop de bâtiments !",N122="Refusé : Trop de bâtiments !",B143="Refusé : Trop de bâtiments !",N143="Refusé : Trop de bâtiments !"),"Test 3 Erreur","Test 3 OK")</f>
        <v>Test 3 OK</v>
      </c>
      <c r="Y76" s="5" t="s">
        <v>110</v>
      </c>
      <c r="Z76" s="6" t="s">
        <v>112</v>
      </c>
    </row>
    <row r="77" spans="1:26" x14ac:dyDescent="0.25">
      <c r="A77" s="11" t="s">
        <v>156</v>
      </c>
      <c r="B77" s="12"/>
      <c r="C77" s="12"/>
      <c r="D77" s="23" t="s">
        <v>12</v>
      </c>
      <c r="E77" s="24"/>
      <c r="F77" s="32"/>
      <c r="G77" s="32"/>
      <c r="H77" s="29"/>
      <c r="I77" s="97"/>
      <c r="J77" s="98"/>
      <c r="K77" s="63">
        <f>IF(AND(D77="Oui",B80="Conforme aux Règles du Wargame",B67="Non"),1,0)</f>
        <v>0</v>
      </c>
      <c r="L77" s="63">
        <f>IF(AND(P77="Oui",N80="Conforme aux Règles du Wargame",N67="Non"),1,0)</f>
        <v>0</v>
      </c>
      <c r="M77" s="11" t="s">
        <v>156</v>
      </c>
      <c r="N77" s="12"/>
      <c r="O77" s="12"/>
      <c r="P77" s="23" t="s">
        <v>12</v>
      </c>
      <c r="Q77" s="24"/>
      <c r="R77" s="32"/>
      <c r="S77" s="32"/>
      <c r="T77" s="29"/>
      <c r="U77" s="97"/>
      <c r="V77" s="98"/>
      <c r="X77" s="63" t="str">
        <f>IF(OR(B38="Refusé : Palais valide que dans les Capitales ou les Villes majeures !",N38="Refusé : Palais valide que dans les Capitales ou les Villes majeures !",B59="Refusé : Palais valide que dans les Capitales ou les Villes majeures !",N59="Refusé : Palais valide que dans les Capitales ou les Villes majeures !",B80="Refusé : Palais valide que dans les Capitales ou les Villes majeures !",N80="Refusé : Palais valide que dans les Capitales ou les Villes majeures !",B101="Refusé : Palais valide que dans les Capitales ou les Villes majeures !",N101="Refusé : Palais valide que dans les Capitales ou les Villes majeures !",B122="Refusé : Palais valide que dans les Capitales ou les Villes majeures !",N122="Refusé : Palais valide que dans les Capitales ou les Villes majeures !",B143="Refusé : Palais valide que dans les Capitales ou les Villes majeures !",N143="Refusé : Palais valide que dans les Capitales ou les Villes majeures !"),"Test 4 Erreur","Test 4 OK")</f>
        <v>Test 4 OK</v>
      </c>
      <c r="Y77" s="5" t="s">
        <v>111</v>
      </c>
      <c r="Z77" s="6" t="s">
        <v>92</v>
      </c>
    </row>
    <row r="78" spans="1:26" x14ac:dyDescent="0.25">
      <c r="A78" s="9" t="s">
        <v>161</v>
      </c>
      <c r="B78" s="10"/>
      <c r="C78" s="10"/>
      <c r="D78" s="9"/>
      <c r="E78" s="16"/>
      <c r="F78" s="48" t="s">
        <v>8</v>
      </c>
      <c r="G78" s="30">
        <f>SUM(G70:G74)</f>
        <v>12000</v>
      </c>
      <c r="H78" s="41" t="s">
        <v>160</v>
      </c>
      <c r="I78" s="41"/>
      <c r="J78" s="42"/>
      <c r="M78" s="9" t="s">
        <v>161</v>
      </c>
      <c r="N78" s="10"/>
      <c r="O78" s="10"/>
      <c r="P78" s="9"/>
      <c r="Q78" s="16"/>
      <c r="R78" s="48" t="s">
        <v>8</v>
      </c>
      <c r="S78" s="30">
        <f>SUM(S70:S74)</f>
        <v>10000</v>
      </c>
      <c r="T78" s="41" t="s">
        <v>160</v>
      </c>
      <c r="U78" s="41"/>
      <c r="V78" s="42"/>
      <c r="X78" s="63" t="str">
        <f>IF(OR(SUM(K29,L29,K50,L50,K71,L71,K92,L92,K113,L113,K134,L134)=0,SUM(K29,L29,K50,L50,K71,L71,K92,L92,K113,L113,K134,L134)=1),"Test 5 OK","Test 5 Erreur")</f>
        <v>Test 5 OK</v>
      </c>
      <c r="Y78" s="6" t="s">
        <v>112</v>
      </c>
      <c r="Z78" s="6" t="s">
        <v>76</v>
      </c>
    </row>
    <row r="79" spans="1:26" x14ac:dyDescent="0.25">
      <c r="A79" s="13" t="s">
        <v>162</v>
      </c>
      <c r="B79" s="14"/>
      <c r="C79" s="14"/>
      <c r="D79" s="13"/>
      <c r="E79" s="15"/>
      <c r="F79" s="49" t="s">
        <v>8</v>
      </c>
      <c r="G79" s="31">
        <f>IF(B80="Conforme aux Règles du Wargame",SUM(I70:I74),0)</f>
        <v>12000</v>
      </c>
      <c r="H79" s="43" t="s">
        <v>160</v>
      </c>
      <c r="I79" s="43"/>
      <c r="J79" s="44"/>
      <c r="M79" s="13" t="s">
        <v>162</v>
      </c>
      <c r="N79" s="14"/>
      <c r="O79" s="14"/>
      <c r="P79" s="13"/>
      <c r="Q79" s="15"/>
      <c r="R79" s="49" t="s">
        <v>8</v>
      </c>
      <c r="S79" s="31">
        <f>IF(N80="Conforme aux Règles du Wargame",SUM(U70:U74),0)</f>
        <v>0</v>
      </c>
      <c r="T79" s="43" t="s">
        <v>160</v>
      </c>
      <c r="U79" s="43"/>
      <c r="V79" s="44"/>
      <c r="Y79" s="6" t="s">
        <v>113</v>
      </c>
      <c r="Z79" s="6" t="s">
        <v>104</v>
      </c>
    </row>
    <row r="80" spans="1:26" x14ac:dyDescent="0.25">
      <c r="A80" s="22" t="s">
        <v>150</v>
      </c>
      <c r="B80" s="92" t="str">
        <f>IF(B64="Ville non définie !","Ville non définie !",IF(B64="Erreur de saisie !","Erreur de saisie !",IF(B66&gt;B65,"Refusé : Trop de bâtiments !",IF(AND(D71="OUI",NOT(OR(B64="Ville majeure",B64="Capitale"))),"Refusé : Palais valide que dans les Capitales ou les Villes majeures !", "Conforme aux Règles du Wargame"))))</f>
        <v>Conforme aux Règles du Wargame</v>
      </c>
      <c r="C80" s="93"/>
      <c r="D80" s="93"/>
      <c r="E80" s="93"/>
      <c r="F80" s="93"/>
      <c r="G80" s="93"/>
      <c r="H80" s="93"/>
      <c r="I80" s="93"/>
      <c r="J80" s="94"/>
      <c r="M80" s="22" t="s">
        <v>150</v>
      </c>
      <c r="N80" s="92" t="str">
        <f>IF(N64="Ville non définie !","Ville non définie !",IF(N64="Erreur de saisie !","Erreur de saisie !",IF(N66&gt;N65,"Refusé : Trop de bâtiments !",IF(AND(P71="OUI",NOT(OR(N64="Ville majeure",N64="Capitale"))),"Refusé : Palais valide que dans les Capitales ou les Villes majeures !", "Conforme aux Règles du Wargame"))))</f>
        <v>Ville non définie !</v>
      </c>
      <c r="O80" s="93"/>
      <c r="P80" s="93"/>
      <c r="Q80" s="93"/>
      <c r="R80" s="93"/>
      <c r="S80" s="93"/>
      <c r="T80" s="93"/>
      <c r="U80" s="93"/>
      <c r="V80" s="94"/>
      <c r="Y80" s="5"/>
      <c r="Z80" s="6" t="s">
        <v>80</v>
      </c>
    </row>
    <row r="81" spans="1:26" x14ac:dyDescent="0.25">
      <c r="Y81" s="3" t="s">
        <v>53</v>
      </c>
      <c r="Z81" s="6" t="s">
        <v>26</v>
      </c>
    </row>
    <row r="82" spans="1:26" x14ac:dyDescent="0.25">
      <c r="Y82" t="s">
        <v>54</v>
      </c>
      <c r="Z82" s="6" t="s">
        <v>134</v>
      </c>
    </row>
    <row r="83" spans="1:26" x14ac:dyDescent="0.25">
      <c r="Y83" s="5" t="s">
        <v>106</v>
      </c>
      <c r="Z83" s="6" t="s">
        <v>135</v>
      </c>
    </row>
    <row r="84" spans="1:26" x14ac:dyDescent="0.25">
      <c r="A84" s="50" t="s">
        <v>185</v>
      </c>
      <c r="B84" s="54"/>
      <c r="D84" s="9"/>
      <c r="E84" s="10"/>
      <c r="F84" s="10"/>
      <c r="G84" s="17" t="s">
        <v>151</v>
      </c>
      <c r="H84" s="99">
        <v>250</v>
      </c>
      <c r="I84" s="100"/>
      <c r="J84" s="40" t="s">
        <v>152</v>
      </c>
      <c r="M84" s="50" t="s">
        <v>186</v>
      </c>
      <c r="N84" s="54"/>
      <c r="P84" s="9"/>
      <c r="Q84" s="10"/>
      <c r="R84" s="10"/>
      <c r="S84" s="17" t="s">
        <v>151</v>
      </c>
      <c r="T84" s="99">
        <v>250</v>
      </c>
      <c r="U84" s="100"/>
      <c r="V84" s="40" t="s">
        <v>152</v>
      </c>
      <c r="Y84" s="5" t="s">
        <v>107</v>
      </c>
      <c r="Z84" s="6" t="s">
        <v>109</v>
      </c>
    </row>
    <row r="85" spans="1:26" x14ac:dyDescent="0.25">
      <c r="A85" s="45" t="s">
        <v>15</v>
      </c>
      <c r="B85" s="51" t="str">
        <f>IF(B84="","Ville non définie !",IF(OR(B84=Z4,B84=Z5),"Capitale",IF(OR(B84=Z8,B84=Z9,B84=Z10,B84=Z11,B84=Z12,B84=Z13,B84=Z14,B84=Z15,B84=Z16,B84=Z17,B84=Z18,B84=Z19,B84=Z20,B84=Z21,B84=Z22,B84=Z23,B84=Z24,B84=Z25,B84=Z26),"Ville majeure",IF(OR(B84=Z29,B84=Z30,B84=Z31,B84=Z32,B84=Z33,B84=Z34,B84=Z35,B84=Z36,B84=Z37,B84=Z38,B84=Z39,B84=Z40,B84=Z41,B84=Z42,B84=Z43,B84=Z44,B84=Z45,B84=Z46,B84=Z47,B84=Z48,B84=Z49,B84=Z50,B84=Z51,B84=Z52,B84=Z53,B84=Z54,B84=Z55,B84=Z56,B84=Z57,B84=Z58,B84=Z59,B84=Z60,B84=Z61,B84=Z62,B84=Z63,B84=Z64,B84=Z65,B84=Z66,B84=Z67,B84=Z68,B84=Z69,B84=Z70,B84=Z71),"Ville mineure",IF(OR(B84=Z74,B84=Z75,B84=Z76,B84=Z77,B84=Z78,B84=Z79,B84=Z80,B84=Z81,B84=Z82,B84=Z83,B84=Z84,B84=Z85,B84=Z86,B84=Z87,B84=Z88,B84=Z89,B84=Z90,B84=Z91,B84=Z92,B84=Z93,B84=Z94,B84=Z95,B84=Z96,B84=Z97,B84=Z98,B84=Z99,B84=Z100,B84=Z101,B84=Z102,B84=Z103,B84=Z104,B84=Z105,B84=Z106,B84=Z107,B84=Z108,B84=Z109,B84=Z110,B84=Z111,B84=Z112,B84=Z113,B84=Z114),"Bourg","Erreur de saisie !")))))</f>
        <v>Ville non définie !</v>
      </c>
      <c r="D85" s="11"/>
      <c r="E85" s="12"/>
      <c r="F85" s="12"/>
      <c r="G85" s="21" t="s">
        <v>164</v>
      </c>
      <c r="H85" s="37" t="s">
        <v>8</v>
      </c>
      <c r="I85" s="33">
        <f>SUM(IF(B85="Capitale",4,IF(B85="Ville majeure",3,IF(B85="Ville mineure",3,IF(B85="Bourg",2,0)))),IF(D92="Oui",1,0),IF(H84&gt;160,0,IF(H84&gt;80,-1,-2)))</f>
        <v>0</v>
      </c>
      <c r="J85" s="34"/>
      <c r="M85" s="45" t="s">
        <v>15</v>
      </c>
      <c r="N85" s="51" t="str">
        <f>IF(N84="","Ville non définie !",IF(OR(N84=Z4,N84=Z5),"Capitale",IF(OR(N84=Z8,N84=Z9,N84=Z10,N84=Z11,N84=Z12,N84=Z13,N84=Z14,N84=Z15,N84=Z16,N84=Z17,N84=Z18,N84=Z19,N84=Z20,N84=Z21,N84=Z22,N84=Z23,N84=Z24,N84=Z25,N84=Z26),"Ville majeure",IF(OR(N84=Z29,N84=Z30,N84=Z31,N84=Z32,N84=Z33,N84=Z34,N84=Z35,N84=Z36,N84=Z37,N84=Z38,N84=Z39,N84=Z40,N84=Z41,N84=Z42,N84=Z43,N84=Z44,N84=Z45,N84=Z46,N84=Z47,N84=Z48,N84=Z49,N84=Z50,N84=Z51,N84=Z52,N84=Z53,N84=Z54,N84=Z55,N84=Z56,N84=Z57,N84=Z58,N84=Z59,N84=Z60,N84=Z61,N84=Z62,N84=Z63,N84=Z64,N84=Z65,N84=Z66,N84=Z67,N84=Z68,N84=Z69,N84=Z70,N84=Z71),"Ville mineure",IF(OR(N84=Z74,N84=Z75,N84=Z76,N84=Z77,N84=Z78,N84=Z79,N84=Z80,N84=Z81,N84=Z82,N84=Z83,N84=Z84,N84=Z85,N84=Z86,N84=Z87,N84=Z88,N84=Z89,N84=Z90,N84=Z91,N84=Z92,N84=Z93,N84=Z94,N84=Z95,N84=Z96,N84=Z97,N84=Z98,N84=Z99,N84=Z100,N84=Z101,N84=Z102,N84=Z103,N84=Z104,N84=Z105,N84=Z106,N84=Z107,N84=Z108,N84=Z109,N84=Z110,N84=Z111,N84=Z112,N84=Z113,N84=Z114),"Bourg","Erreur de saisie !")))))</f>
        <v>Ville non définie !</v>
      </c>
      <c r="P85" s="11"/>
      <c r="Q85" s="12"/>
      <c r="R85" s="12"/>
      <c r="S85" s="21" t="s">
        <v>164</v>
      </c>
      <c r="T85" s="37" t="s">
        <v>8</v>
      </c>
      <c r="U85" s="33">
        <f>SUM(IF(N85="Capitale",4,IF(N85="Ville majeure",3,IF(N85="Ville mineure",3,IF(N85="Bourg",2,0)))),IF(P92="Oui",1,0),IF(T84&gt;160,0,IF(T84&gt;80,-1,-2)))</f>
        <v>0</v>
      </c>
      <c r="V85" s="34"/>
      <c r="Y85" s="6" t="s">
        <v>108</v>
      </c>
      <c r="Z85" s="6" t="s">
        <v>131</v>
      </c>
    </row>
    <row r="86" spans="1:26" x14ac:dyDescent="0.25">
      <c r="A86" s="45" t="s">
        <v>14</v>
      </c>
      <c r="B86" s="52">
        <f>IF(B85="Capitale",7,IF(B85="Ville majeure",6,IF(B85="Ville mineure",4,IF(B85="Bourg",2,0))))</f>
        <v>0</v>
      </c>
      <c r="D86" s="11"/>
      <c r="E86" s="12"/>
      <c r="F86" s="12"/>
      <c r="G86" s="21" t="s">
        <v>155</v>
      </c>
      <c r="H86" s="37" t="s">
        <v>13</v>
      </c>
      <c r="I86" s="33">
        <f>IF(H84&lt;150,100,250-H84)</f>
        <v>0</v>
      </c>
      <c r="J86" s="34" t="s">
        <v>153</v>
      </c>
      <c r="M86" s="45" t="s">
        <v>14</v>
      </c>
      <c r="N86" s="52">
        <f>IF(N85="Capitale",7,IF(N85="Ville majeure",6,IF(N85="Ville mineure",4,IF(N85="Bourg",2,0))))</f>
        <v>0</v>
      </c>
      <c r="P86" s="11"/>
      <c r="Q86" s="12"/>
      <c r="R86" s="12"/>
      <c r="S86" s="21" t="s">
        <v>155</v>
      </c>
      <c r="T86" s="37" t="s">
        <v>13</v>
      </c>
      <c r="U86" s="33">
        <f>IF(T84&lt;150,100,250-T84)</f>
        <v>0</v>
      </c>
      <c r="V86" s="34" t="s">
        <v>153</v>
      </c>
      <c r="Y86" s="6" t="s">
        <v>109</v>
      </c>
      <c r="Z86" s="6" t="s">
        <v>116</v>
      </c>
    </row>
    <row r="87" spans="1:26" x14ac:dyDescent="0.25">
      <c r="A87" s="45" t="s">
        <v>149</v>
      </c>
      <c r="B87" s="52">
        <f>COUNTIF(D92:D98,"Oui")</f>
        <v>0</v>
      </c>
      <c r="D87" s="13"/>
      <c r="E87" s="14"/>
      <c r="F87" s="14"/>
      <c r="G87" s="18" t="s">
        <v>154</v>
      </c>
      <c r="H87" s="38" t="s">
        <v>13</v>
      </c>
      <c r="I87" s="35">
        <f>IF(H84&lt;150,100,300-H84-0.5*I86)</f>
        <v>50</v>
      </c>
      <c r="J87" s="36" t="s">
        <v>153</v>
      </c>
      <c r="M87" s="45" t="s">
        <v>149</v>
      </c>
      <c r="N87" s="52">
        <f>COUNTIF(P92:P98,"Oui")</f>
        <v>0</v>
      </c>
      <c r="P87" s="13"/>
      <c r="Q87" s="14"/>
      <c r="R87" s="14"/>
      <c r="S87" s="18" t="s">
        <v>154</v>
      </c>
      <c r="T87" s="38" t="s">
        <v>13</v>
      </c>
      <c r="U87" s="35">
        <f>IF(T84&lt;150,100,300-T84-0.5*U86)</f>
        <v>50</v>
      </c>
      <c r="V87" s="36" t="s">
        <v>153</v>
      </c>
      <c r="Y87" s="5"/>
      <c r="Z87" s="6" t="s">
        <v>81</v>
      </c>
    </row>
    <row r="88" spans="1:26" x14ac:dyDescent="0.25">
      <c r="A88" s="46" t="s">
        <v>204</v>
      </c>
      <c r="B88" s="53" t="s">
        <v>12</v>
      </c>
      <c r="M88" s="46" t="s">
        <v>204</v>
      </c>
      <c r="N88" s="53" t="s">
        <v>12</v>
      </c>
      <c r="Y88" s="3" t="s">
        <v>55</v>
      </c>
      <c r="Z88" s="6" t="s">
        <v>138</v>
      </c>
    </row>
    <row r="89" spans="1:26" x14ac:dyDescent="0.25">
      <c r="D89" s="84" t="s">
        <v>10</v>
      </c>
      <c r="E89" s="86"/>
      <c r="F89" s="84" t="s">
        <v>7</v>
      </c>
      <c r="G89" s="85"/>
      <c r="H89" s="84" t="s">
        <v>158</v>
      </c>
      <c r="I89" s="85"/>
      <c r="J89" s="86"/>
      <c r="P89" s="84" t="s">
        <v>10</v>
      </c>
      <c r="Q89" s="86"/>
      <c r="R89" s="84" t="s">
        <v>7</v>
      </c>
      <c r="S89" s="85"/>
      <c r="T89" s="84" t="s">
        <v>158</v>
      </c>
      <c r="U89" s="85"/>
      <c r="V89" s="86"/>
      <c r="Y89" t="s">
        <v>56</v>
      </c>
      <c r="Z89" s="6" t="s">
        <v>22</v>
      </c>
    </row>
    <row r="90" spans="1:26" x14ac:dyDescent="0.25">
      <c r="D90" s="87" t="s">
        <v>6</v>
      </c>
      <c r="E90" s="89"/>
      <c r="F90" s="87" t="s">
        <v>9</v>
      </c>
      <c r="G90" s="88"/>
      <c r="H90" s="87" t="s">
        <v>157</v>
      </c>
      <c r="I90" s="88"/>
      <c r="J90" s="89"/>
      <c r="P90" s="87" t="s">
        <v>6</v>
      </c>
      <c r="Q90" s="89"/>
      <c r="R90" s="87" t="s">
        <v>9</v>
      </c>
      <c r="S90" s="88"/>
      <c r="T90" s="87" t="s">
        <v>157</v>
      </c>
      <c r="U90" s="88"/>
      <c r="V90" s="89"/>
      <c r="Y90" s="5" t="s">
        <v>102</v>
      </c>
      <c r="Z90" s="6" t="s">
        <v>124</v>
      </c>
    </row>
    <row r="91" spans="1:26" x14ac:dyDescent="0.25">
      <c r="A91" s="9" t="s">
        <v>0</v>
      </c>
      <c r="B91" s="10"/>
      <c r="C91" s="10"/>
      <c r="D91" s="20" t="s">
        <v>13</v>
      </c>
      <c r="E91" s="16"/>
      <c r="F91" s="25" t="s">
        <v>8</v>
      </c>
      <c r="G91" s="26">
        <f>IF(B85="Capitale",20000,IF(B85="Ville majeure",15000,IF(B85="Ville mineure",10000,IF(B85="Bourg",5000,0))))</f>
        <v>0</v>
      </c>
      <c r="H91" s="39" t="s">
        <v>8</v>
      </c>
      <c r="I91" s="90">
        <f>IF(B88="Oui",G91*(1-I87/100),IF(B88="Non",G91*(1-I86/100),"Siège ?"))</f>
        <v>0</v>
      </c>
      <c r="J91" s="91"/>
      <c r="K91" s="63">
        <f>IF(AND(NOT(B84=""),B101="Conforme aux Règles du Wargame"),1,0)</f>
        <v>0</v>
      </c>
      <c r="L91" s="63">
        <f>IF(AND(NOT(N84=""),N101="Conforme aux Règles du Wargame"),1,0)</f>
        <v>0</v>
      </c>
      <c r="M91" s="9" t="s">
        <v>0</v>
      </c>
      <c r="N91" s="10"/>
      <c r="O91" s="10"/>
      <c r="P91" s="20" t="s">
        <v>13</v>
      </c>
      <c r="Q91" s="16"/>
      <c r="R91" s="25" t="s">
        <v>8</v>
      </c>
      <c r="S91" s="26">
        <f>IF(N85="Capitale",20000,IF(N85="Ville majeure",15000,IF(N85="Ville mineure",10000,IF(N85="Bourg",5000,0))))</f>
        <v>0</v>
      </c>
      <c r="T91" s="39" t="s">
        <v>8</v>
      </c>
      <c r="U91" s="90">
        <f>IF(N88="Oui",S91*(1-U87/100),IF(N88="Non",S91*(1-U86/100),"Siège ?"))</f>
        <v>0</v>
      </c>
      <c r="V91" s="91"/>
      <c r="Y91" s="5" t="s">
        <v>103</v>
      </c>
      <c r="Z91" s="6" t="s">
        <v>32</v>
      </c>
    </row>
    <row r="92" spans="1:26" x14ac:dyDescent="0.25">
      <c r="A92" s="11" t="s">
        <v>147</v>
      </c>
      <c r="B92" s="12"/>
      <c r="C92" s="12"/>
      <c r="D92" s="23" t="s">
        <v>12</v>
      </c>
      <c r="E92" s="24"/>
      <c r="F92" s="27" t="s">
        <v>8</v>
      </c>
      <c r="G92" s="47">
        <f>IF(NOT(D92="Oui"),0,20000)</f>
        <v>0</v>
      </c>
      <c r="H92" s="37" t="s">
        <v>8</v>
      </c>
      <c r="I92" s="90">
        <f>IF(NOT(D92="OUI"),0,IF(B$25="Oui",G92*(1-I$24/100),IF(B$25="Non",G92*(1-I$23/100),"Siège ?")))</f>
        <v>0</v>
      </c>
      <c r="J92" s="91"/>
      <c r="K92" s="63">
        <f>IF(AND(D92="Oui",B101="Conforme aux Règles du Wargame"),1,0)</f>
        <v>0</v>
      </c>
      <c r="L92" s="63">
        <f>IF(AND(P92="Oui",N101="Conforme aux Règles du Wargame"),1,0)</f>
        <v>0</v>
      </c>
      <c r="M92" s="11" t="s">
        <v>147</v>
      </c>
      <c r="N92" s="12"/>
      <c r="O92" s="12"/>
      <c r="P92" s="23" t="s">
        <v>12</v>
      </c>
      <c r="Q92" s="24"/>
      <c r="R92" s="27" t="s">
        <v>8</v>
      </c>
      <c r="S92" s="47">
        <f>IF(NOT(P92="Oui"),0,20000)</f>
        <v>0</v>
      </c>
      <c r="T92" s="37" t="s">
        <v>8</v>
      </c>
      <c r="U92" s="90">
        <f>IF(NOT(P92="OUI"),0,IF(N$25="Oui",S92*(1-U$24/100),IF(N$25="Non",S92*(1-U$23/100),"Siège ?")))</f>
        <v>0</v>
      </c>
      <c r="V92" s="91"/>
      <c r="Y92" s="6" t="s">
        <v>104</v>
      </c>
      <c r="Z92" s="6" t="s">
        <v>132</v>
      </c>
    </row>
    <row r="93" spans="1:26" x14ac:dyDescent="0.25">
      <c r="A93" s="11" t="s">
        <v>2</v>
      </c>
      <c r="B93" s="12"/>
      <c r="C93" s="12"/>
      <c r="D93" s="23" t="s">
        <v>12</v>
      </c>
      <c r="E93" s="24"/>
      <c r="F93" s="27" t="s">
        <v>8</v>
      </c>
      <c r="G93" s="47">
        <f>IF(NOT(D93="Oui"),0,15000)</f>
        <v>0</v>
      </c>
      <c r="H93" s="37" t="s">
        <v>8</v>
      </c>
      <c r="I93" s="90">
        <f>IF(NOT(D93="OUI"),0,IF(B$25="Oui",G93*(1-I$24/100),IF(B$25="Non",G93*(1-I$23/100),"Siège ?")))</f>
        <v>0</v>
      </c>
      <c r="J93" s="91"/>
      <c r="K93" s="63">
        <f>IF(AND(D93="Oui",B101="Conforme aux Règles du Wargame"),1,0)</f>
        <v>0</v>
      </c>
      <c r="L93" s="63">
        <f>IF(AND(P93="Oui",N101="Conforme aux Règles du Wargame"),1,0)</f>
        <v>0</v>
      </c>
      <c r="M93" s="11" t="s">
        <v>2</v>
      </c>
      <c r="N93" s="12"/>
      <c r="O93" s="12"/>
      <c r="P93" s="23" t="s">
        <v>12</v>
      </c>
      <c r="Q93" s="24"/>
      <c r="R93" s="27" t="s">
        <v>8</v>
      </c>
      <c r="S93" s="47">
        <f>IF(NOT(P93="Oui"),0,15000)</f>
        <v>0</v>
      </c>
      <c r="T93" s="37" t="s">
        <v>8</v>
      </c>
      <c r="U93" s="90">
        <f>IF(NOT(P93="OUI"),0,IF(N$25="Oui",S93*(1-U$24/100),IF(N$25="Non",S93*(1-U$23/100),"Siège ?")))</f>
        <v>0</v>
      </c>
      <c r="V93" s="91"/>
      <c r="Y93" s="6" t="s">
        <v>105</v>
      </c>
      <c r="Z93" s="6" t="s">
        <v>121</v>
      </c>
    </row>
    <row r="94" spans="1:26" x14ac:dyDescent="0.25">
      <c r="A94" s="11" t="s">
        <v>1</v>
      </c>
      <c r="B94" s="12"/>
      <c r="C94" s="12"/>
      <c r="D94" s="23" t="s">
        <v>12</v>
      </c>
      <c r="E94" s="24"/>
      <c r="F94" s="27" t="s">
        <v>8</v>
      </c>
      <c r="G94" s="47">
        <f>IF(NOT(D94="Oui"),0,7000)</f>
        <v>0</v>
      </c>
      <c r="H94" s="37" t="s">
        <v>8</v>
      </c>
      <c r="I94" s="90">
        <f>IF(NOT(D94="OUI"),0,IF(B$25="Oui",G94*(1-I$24/100),IF(B$25="Non",G94*(1-I$23/100),"Siège ?")))</f>
        <v>0</v>
      </c>
      <c r="J94" s="91"/>
      <c r="K94" s="63">
        <f>IF(AND(D94="Oui",B101="Conforme aux Règles du Wargame"),1,0)</f>
        <v>0</v>
      </c>
      <c r="L94" s="63">
        <f>IF(AND(P94="Oui",N101="Conforme aux Règles du Wargame"),1,0)</f>
        <v>0</v>
      </c>
      <c r="M94" s="11" t="s">
        <v>1</v>
      </c>
      <c r="N94" s="12"/>
      <c r="O94" s="12"/>
      <c r="P94" s="23" t="s">
        <v>12</v>
      </c>
      <c r="Q94" s="24"/>
      <c r="R94" s="27" t="s">
        <v>8</v>
      </c>
      <c r="S94" s="47">
        <f>IF(NOT(P94="Oui"),0,7000)</f>
        <v>0</v>
      </c>
      <c r="T94" s="37" t="s">
        <v>8</v>
      </c>
      <c r="U94" s="90">
        <f>IF(NOT(P94="OUI"),0,IF(N$25="Oui",S94*(1-U$24/100),IF(N$25="Non",S94*(1-U$23/100),"Siège ?")))</f>
        <v>0</v>
      </c>
      <c r="V94" s="91"/>
      <c r="Y94" s="5"/>
      <c r="Z94" s="6" t="s">
        <v>120</v>
      </c>
    </row>
    <row r="95" spans="1:26" x14ac:dyDescent="0.25">
      <c r="A95" s="11" t="s">
        <v>3</v>
      </c>
      <c r="B95" s="12"/>
      <c r="C95" s="12"/>
      <c r="D95" s="23" t="s">
        <v>12</v>
      </c>
      <c r="E95" s="24"/>
      <c r="F95" s="27" t="s">
        <v>8</v>
      </c>
      <c r="G95" s="47">
        <f>IF(NOT(D95="Oui"),0,3000)</f>
        <v>0</v>
      </c>
      <c r="H95" s="37" t="s">
        <v>8</v>
      </c>
      <c r="I95" s="90">
        <f>IF(NOT(D95="OUI"),0,IF(B$25="Oui",G95*(1-I$24/100),IF(B$25="Non",G95*(1-I$23/100),"Siège ?")))</f>
        <v>0</v>
      </c>
      <c r="J95" s="91"/>
      <c r="K95" s="63">
        <f>IF(AND(D95="Oui",B101="Conforme aux Règles du Wargame"),1,0)</f>
        <v>0</v>
      </c>
      <c r="L95" s="63">
        <f>IF(AND(P95="Oui",N101="Conforme aux Règles du Wargame"),1,0)</f>
        <v>0</v>
      </c>
      <c r="M95" s="11" t="s">
        <v>3</v>
      </c>
      <c r="N95" s="12"/>
      <c r="O95" s="12"/>
      <c r="P95" s="23" t="s">
        <v>12</v>
      </c>
      <c r="Q95" s="24"/>
      <c r="R95" s="27" t="s">
        <v>8</v>
      </c>
      <c r="S95" s="47">
        <f>IF(NOT(P95="Oui"),0,3000)</f>
        <v>0</v>
      </c>
      <c r="T95" s="37" t="s">
        <v>8</v>
      </c>
      <c r="U95" s="90">
        <f>IF(NOT(P95="OUI"),0,IF(N$25="Oui",S95*(1-U$24/100),IF(N$25="Non",S95*(1-U$23/100),"Siège ?")))</f>
        <v>0</v>
      </c>
      <c r="V95" s="91"/>
      <c r="Y95" s="3" t="s">
        <v>60</v>
      </c>
      <c r="Z95" s="6" t="s">
        <v>96</v>
      </c>
    </row>
    <row r="96" spans="1:26" x14ac:dyDescent="0.25">
      <c r="A96" s="11" t="s">
        <v>4</v>
      </c>
      <c r="B96" s="12"/>
      <c r="C96" s="12"/>
      <c r="D96" s="23" t="s">
        <v>12</v>
      </c>
      <c r="E96" s="24"/>
      <c r="F96" s="32"/>
      <c r="G96" s="32"/>
      <c r="H96" s="29"/>
      <c r="I96" s="95"/>
      <c r="J96" s="96"/>
      <c r="K96" s="63">
        <f>IF(AND(D96="Oui",B101="Conforme aux Règles du Wargame",B88="Non"),1,0)</f>
        <v>0</v>
      </c>
      <c r="L96" s="63">
        <f>IF(AND(P96="Oui",N101="Conforme aux Règles du Wargame",N88="Non"),1,0)</f>
        <v>0</v>
      </c>
      <c r="M96" s="11" t="s">
        <v>4</v>
      </c>
      <c r="N96" s="12"/>
      <c r="O96" s="12"/>
      <c r="P96" s="23" t="s">
        <v>12</v>
      </c>
      <c r="Q96" s="24"/>
      <c r="R96" s="32"/>
      <c r="S96" s="32"/>
      <c r="T96" s="29"/>
      <c r="U96" s="95"/>
      <c r="V96" s="96"/>
      <c r="Y96" t="s">
        <v>61</v>
      </c>
      <c r="Z96" s="6" t="s">
        <v>117</v>
      </c>
    </row>
    <row r="97" spans="1:26" x14ac:dyDescent="0.25">
      <c r="A97" s="11" t="s">
        <v>5</v>
      </c>
      <c r="B97" s="12"/>
      <c r="C97" s="12"/>
      <c r="D97" s="23" t="s">
        <v>12</v>
      </c>
      <c r="E97" s="24"/>
      <c r="F97" s="32"/>
      <c r="G97" s="32"/>
      <c r="H97" s="29"/>
      <c r="I97" s="95"/>
      <c r="J97" s="96"/>
      <c r="K97" s="63">
        <f>IF(AND(D97="Oui",B101="Conforme aux Règles du Wargame",B88="Non"),1,0)</f>
        <v>0</v>
      </c>
      <c r="L97" s="63">
        <f>IF(AND(P97="Oui",N101="Conforme aux Règles du Wargame",N88="Non"),1,0)</f>
        <v>0</v>
      </c>
      <c r="M97" s="11" t="s">
        <v>5</v>
      </c>
      <c r="N97" s="12"/>
      <c r="O97" s="12"/>
      <c r="P97" s="23" t="s">
        <v>12</v>
      </c>
      <c r="Q97" s="24"/>
      <c r="R97" s="32"/>
      <c r="S97" s="32"/>
      <c r="T97" s="29"/>
      <c r="U97" s="95"/>
      <c r="V97" s="96"/>
      <c r="Y97" s="5" t="s">
        <v>98</v>
      </c>
      <c r="Z97" s="6" t="s">
        <v>89</v>
      </c>
    </row>
    <row r="98" spans="1:26" x14ac:dyDescent="0.25">
      <c r="A98" s="11" t="s">
        <v>156</v>
      </c>
      <c r="B98" s="12"/>
      <c r="C98" s="12"/>
      <c r="D98" s="23" t="s">
        <v>12</v>
      </c>
      <c r="E98" s="24"/>
      <c r="F98" s="32"/>
      <c r="G98" s="32"/>
      <c r="H98" s="29"/>
      <c r="I98" s="97"/>
      <c r="J98" s="98"/>
      <c r="K98" s="63">
        <f>IF(AND(D98="Oui",B101="Conforme aux Règles du Wargame",B88="Non"),1,0)</f>
        <v>0</v>
      </c>
      <c r="L98" s="63">
        <f>IF(AND(P98="Oui",N101="Conforme aux Règles du Wargame",N88="Non"),1,0)</f>
        <v>0</v>
      </c>
      <c r="M98" s="11" t="s">
        <v>156</v>
      </c>
      <c r="N98" s="12"/>
      <c r="O98" s="12"/>
      <c r="P98" s="23" t="s">
        <v>12</v>
      </c>
      <c r="Q98" s="24"/>
      <c r="R98" s="32"/>
      <c r="S98" s="32"/>
      <c r="T98" s="29"/>
      <c r="U98" s="97"/>
      <c r="V98" s="98"/>
      <c r="Y98" s="5" t="s">
        <v>99</v>
      </c>
      <c r="Z98" s="6" t="s">
        <v>105</v>
      </c>
    </row>
    <row r="99" spans="1:26" x14ac:dyDescent="0.25">
      <c r="A99" s="9" t="s">
        <v>161</v>
      </c>
      <c r="B99" s="10"/>
      <c r="C99" s="10"/>
      <c r="D99" s="9"/>
      <c r="E99" s="16"/>
      <c r="F99" s="48" t="s">
        <v>8</v>
      </c>
      <c r="G99" s="30">
        <f>SUM(G91:G95)</f>
        <v>0</v>
      </c>
      <c r="H99" s="41" t="s">
        <v>160</v>
      </c>
      <c r="I99" s="41"/>
      <c r="J99" s="42"/>
      <c r="M99" s="9" t="s">
        <v>161</v>
      </c>
      <c r="N99" s="10"/>
      <c r="O99" s="10"/>
      <c r="P99" s="9"/>
      <c r="Q99" s="16"/>
      <c r="R99" s="48" t="s">
        <v>8</v>
      </c>
      <c r="S99" s="30">
        <f>SUM(S91:S95)</f>
        <v>0</v>
      </c>
      <c r="T99" s="41" t="s">
        <v>160</v>
      </c>
      <c r="U99" s="41"/>
      <c r="V99" s="42"/>
      <c r="Y99" s="6" t="s">
        <v>100</v>
      </c>
      <c r="Z99" s="6" t="s">
        <v>73</v>
      </c>
    </row>
    <row r="100" spans="1:26" x14ac:dyDescent="0.25">
      <c r="A100" s="13" t="s">
        <v>162</v>
      </c>
      <c r="B100" s="14"/>
      <c r="C100" s="14"/>
      <c r="D100" s="13"/>
      <c r="E100" s="15"/>
      <c r="F100" s="49" t="s">
        <v>8</v>
      </c>
      <c r="G100" s="31">
        <f>IF(B101="Conforme aux Règles du Wargame",SUM(I91:I95),0)</f>
        <v>0</v>
      </c>
      <c r="H100" s="43" t="s">
        <v>160</v>
      </c>
      <c r="I100" s="43"/>
      <c r="J100" s="44"/>
      <c r="M100" s="13" t="s">
        <v>162</v>
      </c>
      <c r="N100" s="14"/>
      <c r="O100" s="14"/>
      <c r="P100" s="13"/>
      <c r="Q100" s="15"/>
      <c r="R100" s="49" t="s">
        <v>8</v>
      </c>
      <c r="S100" s="31">
        <f>IF(N101="Conforme aux Règles du Wargame",SUM(U91:U95),0)</f>
        <v>0</v>
      </c>
      <c r="T100" s="43" t="s">
        <v>160</v>
      </c>
      <c r="U100" s="43"/>
      <c r="V100" s="44"/>
      <c r="Y100" s="6" t="s">
        <v>101</v>
      </c>
      <c r="Z100" s="6" t="s">
        <v>100</v>
      </c>
    </row>
    <row r="101" spans="1:26" x14ac:dyDescent="0.25">
      <c r="A101" s="22" t="s">
        <v>150</v>
      </c>
      <c r="B101" s="92" t="str">
        <f>IF(B85="Ville non définie !","Ville non définie !",IF(B85="Erreur de saisie !","Erreur de saisie !",IF(B87&gt;B86,"Refusé : Trop de bâtiments !",IF(AND(D92="OUI",NOT(OR(B85="Ville majeure",B85="Capitale"))),"Refusé : Palais valide que dans les Capitales ou les Villes majeures !", "Conforme aux Règles du Wargame"))))</f>
        <v>Ville non définie !</v>
      </c>
      <c r="C101" s="93"/>
      <c r="D101" s="93"/>
      <c r="E101" s="93"/>
      <c r="F101" s="93"/>
      <c r="G101" s="93"/>
      <c r="H101" s="93"/>
      <c r="I101" s="93"/>
      <c r="J101" s="94"/>
      <c r="M101" s="22" t="s">
        <v>150</v>
      </c>
      <c r="N101" s="92" t="str">
        <f>IF(N85="Ville non définie !","Ville non définie !",IF(N85="Erreur de saisie !","Erreur de saisie !",IF(N87&gt;N86,"Refusé : Trop de bâtiments !",IF(AND(P92="OUI",NOT(OR(N85="Ville majeure",N85="Capitale"))),"Refusé : Palais valide que dans les Capitales ou les Villes majeures !", "Conforme aux Règles du Wargame"))))</f>
        <v>Ville non définie !</v>
      </c>
      <c r="O101" s="93"/>
      <c r="P101" s="93"/>
      <c r="Q101" s="93"/>
      <c r="R101" s="93"/>
      <c r="S101" s="93"/>
      <c r="T101" s="93"/>
      <c r="U101" s="93"/>
      <c r="V101" s="94"/>
      <c r="Y101" s="5"/>
      <c r="Z101" s="6" t="s">
        <v>33</v>
      </c>
    </row>
    <row r="102" spans="1:26" x14ac:dyDescent="0.25">
      <c r="A102" s="55"/>
      <c r="B102" s="56"/>
      <c r="C102" s="56"/>
      <c r="D102" s="56"/>
      <c r="E102" s="56"/>
      <c r="F102" s="56"/>
      <c r="G102" s="56"/>
      <c r="H102" s="56"/>
      <c r="I102" s="56"/>
      <c r="J102" s="56"/>
      <c r="M102" s="55"/>
      <c r="N102" s="56"/>
      <c r="O102" s="56"/>
      <c r="P102" s="56"/>
      <c r="Q102" s="56"/>
      <c r="R102" s="56"/>
      <c r="S102" s="56"/>
      <c r="T102" s="56"/>
      <c r="U102" s="56"/>
      <c r="V102" s="56"/>
      <c r="Y102" s="3" t="s">
        <v>62</v>
      </c>
      <c r="Z102" s="6" t="s">
        <v>27</v>
      </c>
    </row>
    <row r="103" spans="1:26" x14ac:dyDescent="0.25">
      <c r="M103" s="1"/>
      <c r="N103" s="3"/>
      <c r="O103" s="3"/>
      <c r="Y103" t="s">
        <v>63</v>
      </c>
      <c r="Z103" s="6" t="s">
        <v>27</v>
      </c>
    </row>
    <row r="104" spans="1:26" x14ac:dyDescent="0.25">
      <c r="Y104" s="5" t="s">
        <v>94</v>
      </c>
      <c r="Z104" s="6" t="s">
        <v>77</v>
      </c>
    </row>
    <row r="105" spans="1:26" x14ac:dyDescent="0.25">
      <c r="A105" s="50" t="s">
        <v>187</v>
      </c>
      <c r="B105" s="54"/>
      <c r="D105" s="9"/>
      <c r="E105" s="10"/>
      <c r="F105" s="10"/>
      <c r="G105" s="17" t="s">
        <v>151</v>
      </c>
      <c r="H105" s="99">
        <v>250</v>
      </c>
      <c r="I105" s="100"/>
      <c r="J105" s="40" t="s">
        <v>152</v>
      </c>
      <c r="M105" s="50" t="s">
        <v>188</v>
      </c>
      <c r="N105" s="54"/>
      <c r="P105" s="9"/>
      <c r="Q105" s="10"/>
      <c r="R105" s="10"/>
      <c r="S105" s="17" t="s">
        <v>151</v>
      </c>
      <c r="T105" s="99">
        <v>250</v>
      </c>
      <c r="U105" s="100"/>
      <c r="V105" s="40" t="s">
        <v>152</v>
      </c>
      <c r="Y105" s="5" t="s">
        <v>95</v>
      </c>
      <c r="Z105" s="6" t="s">
        <v>113</v>
      </c>
    </row>
    <row r="106" spans="1:26" x14ac:dyDescent="0.25">
      <c r="A106" s="45" t="s">
        <v>15</v>
      </c>
      <c r="B106" s="51" t="str">
        <f>IF(B105="","Ville non définie !",IF(OR(B105=Z4,B105=Z5),"Capitale",IF(OR(B105=Z8,B105=Z9,B105=Z10,B105=Z11,B105=Z12,B105=Z13,B105=Z14,B105=Z15,B105=Z16,B105=Z17,B105=Z18,B105=Z19,B105=Z20,B105=Z21,B105=Z22,B105=Z23,B105=Z24,B105=Z25,B105=Z26),"Ville majeure",IF(OR(B105=Z29,B105=Z30,B105=Z31,B105=Z32,B105=Z33,B105=Z34,B105=Z35,B105=Z36,B105=Z37,B105=Z38,B105=Z39,B105=Z40,B105=Z41,B105=Z42,B105=Z43,B105=Z44,B105=Z45,B105=Z46,B105=Z47,B105=Z48,B105=Z49,B105=Z50,B105=Z51,B105=Z52,B105=Z53,B105=Z54,B105=Z55,B105=Z56,B105=Z57,B105=Z58,B105=Z59,B105=Z60,B105=Z61,B105=Z62,B105=Z63,B105=Z64,B105=Z65,B105=Z66,B105=Z67,B105=Z68,B105=Z69,B105=Z70,B105=Z71),"Ville mineure",IF(OR(B105=Z74,B105=Z75,B105=Z76,B105=Z77,B105=Z78,B105=Z79,B105=Z80,B105=Z81,B105=Z82,B105=Z83,B105=Z84,B105=Z85,B105=Z86,B105=Z87,B105=Z88,B105=Z89,B105=Z90,B105=Z91,B105=Z92,B105=Z93,B105=Z94,B105=Z95,B105=Z96,B105=Z97,B105=Z98,B105=Z99,B105=Z100,B105=Z101,B105=Z102,B105=Z103,B105=Z104,B105=Z105,B105=Z106,B105=Z107,B105=Z108,B105=Z109,B105=Z110,B105=Z111,B105=Z112,B105=Z113,B105=Z114),"Bourg","Erreur de saisie !")))))</f>
        <v>Ville non définie !</v>
      </c>
      <c r="D106" s="11"/>
      <c r="E106" s="12"/>
      <c r="F106" s="12"/>
      <c r="G106" s="21" t="s">
        <v>164</v>
      </c>
      <c r="H106" s="37" t="s">
        <v>8</v>
      </c>
      <c r="I106" s="33">
        <f>SUM(IF(B106="Capitale",4,IF(B106="Ville majeure",3,IF(B106="Ville mineure",3,IF(B106="Bourg",2,0)))),IF(D113="Oui",1,0),IF(H105&gt;160,0,IF(H105&gt;80,-1,-2)))</f>
        <v>0</v>
      </c>
      <c r="J106" s="34"/>
      <c r="M106" s="45" t="s">
        <v>15</v>
      </c>
      <c r="N106" s="51" t="str">
        <f>IF(N105="","Ville non définie !",IF(OR(N105=Z4,N105=Z5),"Capitale",IF(OR(N105=Z8,N105=Z9,N105=Z10,N105=Z11,N105=Z12,N105=Z13,N105=Z14,N105=Z15,N105=Z16,N105=Z17,N105=Z18,N105=Z19,N105=Z20,N105=Z21,N105=Z22,N105=Z23,N105=Z24,N105=Z25,N105=Z26),"Ville majeure",IF(OR(N105=Z29,N105=Z30,N105=Z31,N105=Z32,N105=Z33,N105=Z34,N105=Z35,N105=Z36,N105=Z37,N105=Z38,N105=Z39,N105=Z40,N105=Z41,N105=Z42,N105=Z43,N105=Z44,N105=Z45,N105=Z46,N105=Z47,N105=Z48,N105=Z49,N105=Z50,N105=Z51,N105=Z52,N105=Z53,N105=Z54,N105=Z55,N105=Z56,N105=Z57,N105=Z58,N105=Z59,N105=Z60,N105=Z61,N105=Z62,N105=Z63,N105=Z64,N105=Z65,N105=Z66,N105=Z67,N105=Z68,N105=Z69,N105=Z70,N105=Z71),"Ville mineure",IF(OR(N105=Z74,N105=Z75,N105=Z76,N105=Z77,N105=Z78,N105=Z79,N105=Z80,N105=Z81,N105=Z82,N105=Z83,N105=Z84,N105=Z85,N105=Z86,N105=Z87,N105=Z88,N105=Z89,N105=Z90,N105=Z91,N105=Z92,N105=Z93,N105=Z94,N105=Z95,N105=Z96,N105=Z97,N105=Z98,N105=Z99,N105=Z100,N105=Z101,N105=Z102,N105=Z103,N105=Z104,N105=Z105,N105=Z106,N105=Z107,N105=Z108,N105=Z109,N105=Z110,N105=Z111,N105=Z112,N105=Z113,N105=Z114),"Bourg","Erreur de saisie !")))))</f>
        <v>Ville non définie !</v>
      </c>
      <c r="P106" s="11"/>
      <c r="Q106" s="12"/>
      <c r="R106" s="12"/>
      <c r="S106" s="21" t="s">
        <v>164</v>
      </c>
      <c r="T106" s="37" t="s">
        <v>8</v>
      </c>
      <c r="U106" s="33">
        <f>SUM(IF(N106="Capitale",4,IF(N106="Ville majeure",3,IF(N106="Ville mineure",3,IF(N106="Bourg",2,0)))),IF(P113="Oui",1,0),IF(T105&gt;160,0,IF(T105&gt;80,-1,-2)))</f>
        <v>0</v>
      </c>
      <c r="V106" s="34"/>
      <c r="Y106" s="6" t="s">
        <v>96</v>
      </c>
      <c r="Z106" s="6" t="s">
        <v>97</v>
      </c>
    </row>
    <row r="107" spans="1:26" x14ac:dyDescent="0.25">
      <c r="A107" s="45" t="s">
        <v>14</v>
      </c>
      <c r="B107" s="52">
        <f>IF(B106="Capitale",7,IF(B106="Ville majeure",6,IF(B106="Ville mineure",4,IF(B106="Bourg",2,0))))</f>
        <v>0</v>
      </c>
      <c r="D107" s="11"/>
      <c r="E107" s="12"/>
      <c r="F107" s="12"/>
      <c r="G107" s="21" t="s">
        <v>155</v>
      </c>
      <c r="H107" s="37" t="s">
        <v>13</v>
      </c>
      <c r="I107" s="33">
        <f>IF(H105&lt;150,100,250-H105)</f>
        <v>0</v>
      </c>
      <c r="J107" s="34" t="s">
        <v>153</v>
      </c>
      <c r="M107" s="45" t="s">
        <v>14</v>
      </c>
      <c r="N107" s="52">
        <f>IF(N106="Capitale",7,IF(N106="Ville majeure",6,IF(N106="Ville mineure",4,IF(N106="Bourg",2,0))))</f>
        <v>0</v>
      </c>
      <c r="P107" s="11"/>
      <c r="Q107" s="12"/>
      <c r="R107" s="12"/>
      <c r="S107" s="21" t="s">
        <v>155</v>
      </c>
      <c r="T107" s="37" t="s">
        <v>13</v>
      </c>
      <c r="U107" s="33">
        <f>IF(T105&lt;150,100,250-T105)</f>
        <v>0</v>
      </c>
      <c r="V107" s="34" t="s">
        <v>153</v>
      </c>
      <c r="Y107" s="6" t="s">
        <v>97</v>
      </c>
      <c r="Z107" s="6" t="s">
        <v>101</v>
      </c>
    </row>
    <row r="108" spans="1:26" x14ac:dyDescent="0.25">
      <c r="A108" s="45" t="s">
        <v>149</v>
      </c>
      <c r="B108" s="52">
        <f>COUNTIF(D113:D119,"Oui")</f>
        <v>0</v>
      </c>
      <c r="D108" s="13"/>
      <c r="E108" s="14"/>
      <c r="F108" s="14"/>
      <c r="G108" s="18" t="s">
        <v>154</v>
      </c>
      <c r="H108" s="38" t="s">
        <v>13</v>
      </c>
      <c r="I108" s="35">
        <f>IF(H105&lt;150,100,300-H105-0.5*I107)</f>
        <v>50</v>
      </c>
      <c r="J108" s="36" t="s">
        <v>153</v>
      </c>
      <c r="M108" s="45" t="s">
        <v>149</v>
      </c>
      <c r="N108" s="52">
        <f>COUNTIF(P113:P119,"Oui")</f>
        <v>0</v>
      </c>
      <c r="P108" s="13"/>
      <c r="Q108" s="14"/>
      <c r="R108" s="14"/>
      <c r="S108" s="18" t="s">
        <v>154</v>
      </c>
      <c r="T108" s="38" t="s">
        <v>13</v>
      </c>
      <c r="U108" s="35">
        <f>IF(T105&lt;150,100,300-T105-0.5*U107)</f>
        <v>50</v>
      </c>
      <c r="V108" s="36" t="s">
        <v>153</v>
      </c>
      <c r="Y108" s="5"/>
      <c r="Z108" s="6" t="s">
        <v>93</v>
      </c>
    </row>
    <row r="109" spans="1:26" x14ac:dyDescent="0.25">
      <c r="A109" s="46" t="s">
        <v>204</v>
      </c>
      <c r="B109" s="53" t="s">
        <v>12</v>
      </c>
      <c r="M109" s="46" t="s">
        <v>204</v>
      </c>
      <c r="N109" s="53" t="s">
        <v>12</v>
      </c>
      <c r="Y109" s="3" t="s">
        <v>141</v>
      </c>
      <c r="Z109" s="6" t="s">
        <v>125</v>
      </c>
    </row>
    <row r="110" spans="1:26" x14ac:dyDescent="0.25">
      <c r="D110" s="84" t="s">
        <v>10</v>
      </c>
      <c r="E110" s="86"/>
      <c r="F110" s="84" t="s">
        <v>7</v>
      </c>
      <c r="G110" s="85"/>
      <c r="H110" s="84" t="s">
        <v>158</v>
      </c>
      <c r="I110" s="85"/>
      <c r="J110" s="86"/>
      <c r="P110" s="84" t="s">
        <v>10</v>
      </c>
      <c r="Q110" s="86"/>
      <c r="R110" s="84" t="s">
        <v>7</v>
      </c>
      <c r="S110" s="85"/>
      <c r="T110" s="84" t="s">
        <v>158</v>
      </c>
      <c r="U110" s="85"/>
      <c r="V110" s="86"/>
      <c r="Y110" t="s">
        <v>57</v>
      </c>
      <c r="Z110" s="6" t="s">
        <v>139</v>
      </c>
    </row>
    <row r="111" spans="1:26" x14ac:dyDescent="0.25">
      <c r="D111" s="87" t="s">
        <v>6</v>
      </c>
      <c r="E111" s="89"/>
      <c r="F111" s="87" t="s">
        <v>9</v>
      </c>
      <c r="G111" s="88"/>
      <c r="H111" s="87" t="s">
        <v>157</v>
      </c>
      <c r="I111" s="88"/>
      <c r="J111" s="89"/>
      <c r="P111" s="87" t="s">
        <v>6</v>
      </c>
      <c r="Q111" s="89"/>
      <c r="R111" s="87" t="s">
        <v>9</v>
      </c>
      <c r="S111" s="88"/>
      <c r="T111" s="87" t="s">
        <v>157</v>
      </c>
      <c r="U111" s="88"/>
      <c r="V111" s="89"/>
      <c r="Y111" s="5" t="s">
        <v>90</v>
      </c>
      <c r="Z111" s="6" t="s">
        <v>84</v>
      </c>
    </row>
    <row r="112" spans="1:26" x14ac:dyDescent="0.25">
      <c r="A112" s="9" t="s">
        <v>0</v>
      </c>
      <c r="B112" s="10"/>
      <c r="C112" s="10"/>
      <c r="D112" s="20" t="s">
        <v>13</v>
      </c>
      <c r="E112" s="16"/>
      <c r="F112" s="25" t="s">
        <v>8</v>
      </c>
      <c r="G112" s="26">
        <f>IF(B106="Capitale",20000,IF(B106="Ville majeure",15000,IF(B106="Ville mineure",10000,IF(B106="Bourg",5000,0))))</f>
        <v>0</v>
      </c>
      <c r="H112" s="39" t="s">
        <v>8</v>
      </c>
      <c r="I112" s="90">
        <f>IF(B109="Oui",G112*(1-I108/100),IF(B109="Non",G112*(1-I107/100),"Siège ?"))</f>
        <v>0</v>
      </c>
      <c r="J112" s="91"/>
      <c r="K112" s="63">
        <f>IF(AND(NOT(B105=""),B122="Conforme aux Règles du Wargame"),1,0)</f>
        <v>0</v>
      </c>
      <c r="L112" s="63">
        <f>IF(AND(NOT(N105=""),N122="Conforme aux Règles du Wargame"),1,0)</f>
        <v>0</v>
      </c>
      <c r="M112" s="9" t="s">
        <v>0</v>
      </c>
      <c r="N112" s="10"/>
      <c r="O112" s="10"/>
      <c r="P112" s="20" t="s">
        <v>13</v>
      </c>
      <c r="Q112" s="16"/>
      <c r="R112" s="25" t="s">
        <v>8</v>
      </c>
      <c r="S112" s="26">
        <f>IF(N106="Capitale",20000,IF(N106="Ville majeure",15000,IF(N106="Ville mineure",10000,IF(N106="Bourg",5000,0))))</f>
        <v>0</v>
      </c>
      <c r="T112" s="39" t="s">
        <v>8</v>
      </c>
      <c r="U112" s="90">
        <f>IF(N109="Oui",S112*(1-U108/100),IF(N109="Non",S112*(1-U107/100),"Siège ?"))</f>
        <v>0</v>
      </c>
      <c r="V112" s="91"/>
      <c r="Y112" s="5" t="s">
        <v>91</v>
      </c>
      <c r="Z112" s="6" t="s">
        <v>85</v>
      </c>
    </row>
    <row r="113" spans="1:26" x14ac:dyDescent="0.25">
      <c r="A113" s="11" t="s">
        <v>147</v>
      </c>
      <c r="B113" s="12"/>
      <c r="C113" s="12"/>
      <c r="D113" s="23" t="s">
        <v>12</v>
      </c>
      <c r="E113" s="24"/>
      <c r="F113" s="27" t="s">
        <v>8</v>
      </c>
      <c r="G113" s="47">
        <f>IF(NOT(D113="Oui"),0,20000)</f>
        <v>0</v>
      </c>
      <c r="H113" s="37" t="s">
        <v>8</v>
      </c>
      <c r="I113" s="90">
        <f>IF(NOT(D113="OUI"),0,IF(B109="Oui",G113*(1-I108/100),IF(B109="Non",G113*(1-I107/100),"Siège ?")))</f>
        <v>0</v>
      </c>
      <c r="J113" s="91"/>
      <c r="K113" s="63">
        <f>IF(AND(D113="Oui",B122="Conforme aux Règles du Wargame"),1,0)</f>
        <v>0</v>
      </c>
      <c r="L113" s="63">
        <f>IF(AND(P113="Oui",N122="Conforme aux Règles du Wargame"),1,0)</f>
        <v>0</v>
      </c>
      <c r="M113" s="11" t="s">
        <v>147</v>
      </c>
      <c r="N113" s="12"/>
      <c r="O113" s="12"/>
      <c r="P113" s="23" t="s">
        <v>12</v>
      </c>
      <c r="Q113" s="24"/>
      <c r="R113" s="27" t="s">
        <v>8</v>
      </c>
      <c r="S113" s="47">
        <f>IF(NOT(P113="Oui"),0,20000)</f>
        <v>0</v>
      </c>
      <c r="T113" s="37" t="s">
        <v>8</v>
      </c>
      <c r="U113" s="90">
        <f>IF(NOT(P113="OUI"),0,IF(N109="Oui",S113*(1-U108/100),IF(N109="Non",S113*(1-U107/100),"Siège ?")))</f>
        <v>0</v>
      </c>
      <c r="V113" s="91"/>
      <c r="Y113" s="6" t="s">
        <v>92</v>
      </c>
      <c r="Z113" s="6" t="s">
        <v>128</v>
      </c>
    </row>
    <row r="114" spans="1:26" x14ac:dyDescent="0.25">
      <c r="A114" s="11" t="s">
        <v>2</v>
      </c>
      <c r="B114" s="12"/>
      <c r="C114" s="12"/>
      <c r="D114" s="23" t="s">
        <v>12</v>
      </c>
      <c r="E114" s="24"/>
      <c r="F114" s="27" t="s">
        <v>8</v>
      </c>
      <c r="G114" s="47">
        <f>IF(NOT(D114="Oui"),0,15000)</f>
        <v>0</v>
      </c>
      <c r="H114" s="37" t="s">
        <v>8</v>
      </c>
      <c r="I114" s="90">
        <f>IF(NOT(D114="OUI"),0,IF(B109="Oui",G114*(1-I108/100),IF(B109="Non",G114*(1-I107/100),"Siège ?")))</f>
        <v>0</v>
      </c>
      <c r="J114" s="91"/>
      <c r="K114" s="63">
        <f>IF(AND(D114="Oui",B122="Conforme aux Règles du Wargame"),1,0)</f>
        <v>0</v>
      </c>
      <c r="L114" s="63">
        <f>IF(AND(P114="Oui",N122="Conforme aux Règles du Wargame"),1,0)</f>
        <v>0</v>
      </c>
      <c r="M114" s="11" t="s">
        <v>2</v>
      </c>
      <c r="N114" s="12"/>
      <c r="O114" s="12"/>
      <c r="P114" s="23" t="s">
        <v>12</v>
      </c>
      <c r="Q114" s="24"/>
      <c r="R114" s="27" t="s">
        <v>8</v>
      </c>
      <c r="S114" s="47">
        <f>IF(NOT(P114="Oui"),0,15000)</f>
        <v>0</v>
      </c>
      <c r="T114" s="37" t="s">
        <v>8</v>
      </c>
      <c r="U114" s="90">
        <f>IF(NOT(P114="OUI"),0,IF(N109="Oui",S114*(1-U108/100),IF(N109="Non",S114*(1-U107/100),"Siège ?")))</f>
        <v>0</v>
      </c>
      <c r="V114" s="91"/>
      <c r="Y114" s="6" t="s">
        <v>93</v>
      </c>
      <c r="Z114" s="6" t="s">
        <v>28</v>
      </c>
    </row>
    <row r="115" spans="1:26" x14ac:dyDescent="0.25">
      <c r="A115" s="11" t="s">
        <v>1</v>
      </c>
      <c r="B115" s="12"/>
      <c r="C115" s="12"/>
      <c r="D115" s="23" t="s">
        <v>12</v>
      </c>
      <c r="E115" s="24"/>
      <c r="F115" s="27" t="s">
        <v>8</v>
      </c>
      <c r="G115" s="47">
        <f>IF(NOT(D115="Oui"),0,7000)</f>
        <v>0</v>
      </c>
      <c r="H115" s="37" t="s">
        <v>8</v>
      </c>
      <c r="I115" s="90">
        <f>IF(NOT(D115="OUI"),0,IF(B109="Oui",G115*(1-I108/100),IF(B109="Non",G115*(1-I107/100),"Siège ?")))</f>
        <v>0</v>
      </c>
      <c r="J115" s="91"/>
      <c r="K115" s="63">
        <f>IF(AND(D115="Oui",B122="Conforme aux Règles du Wargame"),1,0)</f>
        <v>0</v>
      </c>
      <c r="L115" s="63">
        <f>IF(AND(P115="Oui",N122="Conforme aux Règles du Wargame"),1,0)</f>
        <v>0</v>
      </c>
      <c r="M115" s="11" t="s">
        <v>1</v>
      </c>
      <c r="N115" s="12"/>
      <c r="O115" s="12"/>
      <c r="P115" s="23" t="s">
        <v>12</v>
      </c>
      <c r="Q115" s="24"/>
      <c r="R115" s="27" t="s">
        <v>8</v>
      </c>
      <c r="S115" s="47">
        <f>IF(NOT(P115="Oui"),0,7000)</f>
        <v>0</v>
      </c>
      <c r="T115" s="37" t="s">
        <v>8</v>
      </c>
      <c r="U115" s="90">
        <f>IF(NOT(P115="OUI"),0,IF(N109="Oui",S115*(1-U108/100),IF(N109="Non",S115*(1-U107/100),"Siège ?")))</f>
        <v>0</v>
      </c>
      <c r="V115" s="91"/>
      <c r="Y115" s="5"/>
    </row>
    <row r="116" spans="1:26" x14ac:dyDescent="0.25">
      <c r="A116" s="11" t="s">
        <v>3</v>
      </c>
      <c r="B116" s="12"/>
      <c r="C116" s="12"/>
      <c r="D116" s="23" t="s">
        <v>12</v>
      </c>
      <c r="E116" s="24"/>
      <c r="F116" s="27" t="s">
        <v>8</v>
      </c>
      <c r="G116" s="47">
        <f>IF(NOT(D116="Oui"),0,3000)</f>
        <v>0</v>
      </c>
      <c r="H116" s="37" t="s">
        <v>8</v>
      </c>
      <c r="I116" s="90">
        <f>IF(NOT(D116="OUI"),0,IF(B109="Oui",G116*(1-I108/100),IF(B109="Non",G116*(1-I107/100),"Siège ?")))</f>
        <v>0</v>
      </c>
      <c r="J116" s="91"/>
      <c r="K116" s="63">
        <f>IF(AND(D116="Oui",B122="Conforme aux Règles du Wargame"),1,0)</f>
        <v>0</v>
      </c>
      <c r="L116" s="63">
        <f>IF(AND(P116="Oui",N122="Conforme aux Règles du Wargame"),1,0)</f>
        <v>0</v>
      </c>
      <c r="M116" s="11" t="s">
        <v>3</v>
      </c>
      <c r="N116" s="12"/>
      <c r="O116" s="12"/>
      <c r="P116" s="23" t="s">
        <v>12</v>
      </c>
      <c r="Q116" s="24"/>
      <c r="R116" s="27" t="s">
        <v>8</v>
      </c>
      <c r="S116" s="47">
        <f>IF(NOT(P116="Oui"),0,3000)</f>
        <v>0</v>
      </c>
      <c r="T116" s="37" t="s">
        <v>8</v>
      </c>
      <c r="U116" s="90">
        <f>IF(NOT(P116="OUI"),0,IF(N109="Oui",S116*(1-U108/100),IF(N109="Non",S116*(1-U107/100),"Siège ?")))</f>
        <v>0</v>
      </c>
      <c r="V116" s="91"/>
      <c r="Y116" s="3" t="s">
        <v>58</v>
      </c>
    </row>
    <row r="117" spans="1:26" x14ac:dyDescent="0.25">
      <c r="A117" s="11" t="s">
        <v>4</v>
      </c>
      <c r="B117" s="12"/>
      <c r="C117" s="12"/>
      <c r="D117" s="23" t="s">
        <v>12</v>
      </c>
      <c r="E117" s="24"/>
      <c r="F117" s="32"/>
      <c r="G117" s="32"/>
      <c r="H117" s="29"/>
      <c r="I117" s="95"/>
      <c r="J117" s="96"/>
      <c r="K117" s="63">
        <f>IF(AND(D117="Oui",B122="Conforme aux Règles du Wargame",B109="Non"),1,0)</f>
        <v>0</v>
      </c>
      <c r="L117" s="63">
        <f>IF(AND(P117="Oui",N122="Conforme aux Règles du Wargame",N109="Non"),1,0)</f>
        <v>0</v>
      </c>
      <c r="M117" s="11" t="s">
        <v>4</v>
      </c>
      <c r="N117" s="12"/>
      <c r="O117" s="12"/>
      <c r="P117" s="23" t="s">
        <v>12</v>
      </c>
      <c r="Q117" s="24"/>
      <c r="R117" s="32"/>
      <c r="S117" s="32"/>
      <c r="T117" s="29"/>
      <c r="U117" s="95"/>
      <c r="V117" s="96"/>
      <c r="Y117" t="s">
        <v>59</v>
      </c>
    </row>
    <row r="118" spans="1:26" x14ac:dyDescent="0.25">
      <c r="A118" s="11" t="s">
        <v>5</v>
      </c>
      <c r="B118" s="12"/>
      <c r="C118" s="12"/>
      <c r="D118" s="23" t="s">
        <v>12</v>
      </c>
      <c r="E118" s="24"/>
      <c r="F118" s="32"/>
      <c r="G118" s="32"/>
      <c r="H118" s="29"/>
      <c r="I118" s="95"/>
      <c r="J118" s="96"/>
      <c r="K118" s="63">
        <f>IF(AND(D118="Oui",B122="Conforme aux Règles du Wargame",B109="Non"),1,0)</f>
        <v>0</v>
      </c>
      <c r="L118" s="63">
        <f>IF(AND(P118="Oui",N122="Conforme aux Règles du Wargame",N109="Non"),1,0)</f>
        <v>0</v>
      </c>
      <c r="M118" s="11" t="s">
        <v>5</v>
      </c>
      <c r="N118" s="12"/>
      <c r="O118" s="12"/>
      <c r="P118" s="23" t="s">
        <v>12</v>
      </c>
      <c r="Q118" s="24"/>
      <c r="R118" s="32"/>
      <c r="S118" s="32"/>
      <c r="T118" s="29"/>
      <c r="U118" s="95"/>
      <c r="V118" s="96"/>
      <c r="Y118" s="5" t="s">
        <v>86</v>
      </c>
    </row>
    <row r="119" spans="1:26" x14ac:dyDescent="0.25">
      <c r="A119" s="11" t="s">
        <v>156</v>
      </c>
      <c r="B119" s="12"/>
      <c r="C119" s="12"/>
      <c r="D119" s="23" t="s">
        <v>12</v>
      </c>
      <c r="E119" s="24"/>
      <c r="F119" s="32"/>
      <c r="G119" s="32"/>
      <c r="H119" s="29"/>
      <c r="I119" s="97"/>
      <c r="J119" s="98"/>
      <c r="K119" s="63">
        <f>IF(AND(D119="Oui",B122="Conforme aux Règles du Wargame",B109="Non"),1,0)</f>
        <v>0</v>
      </c>
      <c r="L119" s="63">
        <f>IF(AND(P119="Oui",N122="Conforme aux Règles du Wargame",N109="Non"),1,0)</f>
        <v>0</v>
      </c>
      <c r="M119" s="11" t="s">
        <v>156</v>
      </c>
      <c r="N119" s="12"/>
      <c r="O119" s="12"/>
      <c r="P119" s="23" t="s">
        <v>12</v>
      </c>
      <c r="Q119" s="24"/>
      <c r="R119" s="32"/>
      <c r="S119" s="32"/>
      <c r="T119" s="29"/>
      <c r="U119" s="97"/>
      <c r="V119" s="98"/>
      <c r="Y119" s="5" t="s">
        <v>87</v>
      </c>
    </row>
    <row r="120" spans="1:26" x14ac:dyDescent="0.25">
      <c r="A120" s="9" t="s">
        <v>161</v>
      </c>
      <c r="B120" s="10"/>
      <c r="C120" s="10"/>
      <c r="D120" s="9"/>
      <c r="E120" s="16"/>
      <c r="F120" s="48" t="s">
        <v>8</v>
      </c>
      <c r="G120" s="30">
        <f>SUM(G112:G116)</f>
        <v>0</v>
      </c>
      <c r="H120" s="41" t="s">
        <v>160</v>
      </c>
      <c r="I120" s="41"/>
      <c r="J120" s="42"/>
      <c r="M120" s="9" t="s">
        <v>161</v>
      </c>
      <c r="N120" s="10"/>
      <c r="O120" s="10"/>
      <c r="P120" s="9"/>
      <c r="Q120" s="16"/>
      <c r="R120" s="48" t="s">
        <v>8</v>
      </c>
      <c r="S120" s="30">
        <f>SUM(S112:S116)</f>
        <v>0</v>
      </c>
      <c r="T120" s="41" t="s">
        <v>160</v>
      </c>
      <c r="U120" s="41"/>
      <c r="V120" s="42"/>
      <c r="Y120" s="6" t="s">
        <v>88</v>
      </c>
    </row>
    <row r="121" spans="1:26" x14ac:dyDescent="0.25">
      <c r="A121" s="13" t="s">
        <v>162</v>
      </c>
      <c r="B121" s="14"/>
      <c r="C121" s="14"/>
      <c r="D121" s="13"/>
      <c r="E121" s="15"/>
      <c r="F121" s="49" t="s">
        <v>8</v>
      </c>
      <c r="G121" s="31">
        <f>IF(B122="Conforme aux Règles du Wargame",SUM(I112:I116),0)</f>
        <v>0</v>
      </c>
      <c r="H121" s="43" t="s">
        <v>160</v>
      </c>
      <c r="I121" s="43"/>
      <c r="J121" s="44"/>
      <c r="M121" s="13" t="s">
        <v>162</v>
      </c>
      <c r="N121" s="14"/>
      <c r="O121" s="14"/>
      <c r="P121" s="13"/>
      <c r="Q121" s="15"/>
      <c r="R121" s="49" t="s">
        <v>8</v>
      </c>
      <c r="S121" s="31">
        <f>IF(N122="Conforme aux Règles du Wargame",SUM(U112:U116),0)</f>
        <v>0</v>
      </c>
      <c r="T121" s="43" t="s">
        <v>160</v>
      </c>
      <c r="U121" s="43"/>
      <c r="V121" s="44"/>
      <c r="Y121" s="6" t="s">
        <v>89</v>
      </c>
    </row>
    <row r="122" spans="1:26" x14ac:dyDescent="0.25">
      <c r="A122" s="22" t="s">
        <v>150</v>
      </c>
      <c r="B122" s="92" t="str">
        <f>IF(B106="Ville non définie !","Ville non définie !",IF(B106="Erreur de saisie !","Erreur de saisie !",IF(B108&gt;B107,"Refusé : Trop de bâtiments !",IF(AND(D113="OUI",NOT(OR(B106="Ville majeure",B106="Capitale"))),"Refusé : Palais valide que dans les Capitales ou les Villes majeures !", "Conforme aux Règles du Wargame"))))</f>
        <v>Ville non définie !</v>
      </c>
      <c r="C122" s="93"/>
      <c r="D122" s="93"/>
      <c r="E122" s="93"/>
      <c r="F122" s="93"/>
      <c r="G122" s="93"/>
      <c r="H122" s="93"/>
      <c r="I122" s="93"/>
      <c r="J122" s="94"/>
      <c r="M122" s="22" t="s">
        <v>150</v>
      </c>
      <c r="N122" s="92" t="str">
        <f>IF(N106="Ville non définie !","Ville non définie !",IF(N106="Erreur de saisie !","Erreur de saisie !",IF(N108&gt;N107,"Refusé : Trop de bâtiments !",IF(AND(P113="OUI",NOT(OR(N106="Ville majeure",N106="Capitale"))),"Refusé : Palais valide que dans les Capitales ou les Villes majeures !", "Conforme aux Règles du Wargame"))))</f>
        <v>Ville non définie !</v>
      </c>
      <c r="O122" s="93"/>
      <c r="P122" s="93"/>
      <c r="Q122" s="93"/>
      <c r="R122" s="93"/>
      <c r="S122" s="93"/>
      <c r="T122" s="93"/>
      <c r="U122" s="93"/>
      <c r="V122" s="94"/>
      <c r="Y122" s="5"/>
    </row>
    <row r="123" spans="1:26" x14ac:dyDescent="0.25">
      <c r="Y123" s="3" t="s">
        <v>142</v>
      </c>
    </row>
    <row r="124" spans="1:26" x14ac:dyDescent="0.25">
      <c r="Y124" t="s">
        <v>64</v>
      </c>
    </row>
    <row r="125" spans="1:26" x14ac:dyDescent="0.25">
      <c r="Y125" s="5" t="s">
        <v>82</v>
      </c>
    </row>
    <row r="126" spans="1:26" x14ac:dyDescent="0.25">
      <c r="A126" s="50" t="s">
        <v>189</v>
      </c>
      <c r="B126" s="54"/>
      <c r="D126" s="9"/>
      <c r="E126" s="10"/>
      <c r="F126" s="10"/>
      <c r="G126" s="17" t="s">
        <v>151</v>
      </c>
      <c r="H126" s="99">
        <v>250</v>
      </c>
      <c r="I126" s="100"/>
      <c r="J126" s="40" t="s">
        <v>152</v>
      </c>
      <c r="M126" s="50" t="s">
        <v>190</v>
      </c>
      <c r="N126" s="54"/>
      <c r="P126" s="9"/>
      <c r="Q126" s="10"/>
      <c r="R126" s="10"/>
      <c r="S126" s="17" t="s">
        <v>151</v>
      </c>
      <c r="T126" s="99">
        <v>250</v>
      </c>
      <c r="U126" s="100"/>
      <c r="V126" s="40" t="s">
        <v>152</v>
      </c>
      <c r="Y126" s="5" t="s">
        <v>83</v>
      </c>
    </row>
    <row r="127" spans="1:26" x14ac:dyDescent="0.25">
      <c r="A127" s="45" t="s">
        <v>15</v>
      </c>
      <c r="B127" s="51" t="str">
        <f>IF(B126="","Ville non définie !",IF(OR(B126=Z4,B126=Z5),"Capitale",IF(OR(B126=Z8,B126=Z9,B126=Z10,B126=Z11,B126=Z12,B126=Z13,B126=Z14,B126=Z15,B126=Z16,B126=Z17,B126=Z18,B126=Z19,B126=Z20,B126=Z21,B126=Z22,B126=Z23,B126=Z24,B126=Z25,B126=Z26),"Ville majeure",IF(OR(B126=Z29,B126=Z30,B126=Z31,B126=Z32,B126=Z33,B126=Z34,B126=Z35,B126=Z36,B126=Z37,B126=Z38,B126=Z39,B126=Z40,B126=Z41,B126=Z42,B126=Z43,B126=Z44,B126=Z45,B126=Z46,B126=Z47,B126=Z48,B126=Z49,B126=Z50,B126=Z51,B126=Z52,B126=Z53,B126=Z54,B126=Z55,B126=Z56,B126=Z57,B126=Z58,B126=Z59,B126=Z60,B126=Z61,B126=Z62,B126=Z63,B126=Z64,B126=Z65,B126=Z66,B126=Z67,B126=Z68,B126=Z69,B126=Z70,B126=Z71),"Ville mineure",IF(OR(B126=Z74,B126=Z75,B126=Z76,B126=Z77,B126=Z78,B126=Z79,B126=Z80,B126=Z81,B126=Z82,B126=Z83,B126=Z84,B126=Z85,B126=Z86,B126=Z87,B126=Z88,B126=Z89,B126=Z90,B126=Z91,B126=Z92,B126=Z93,B126=Z94,B126=Z95,B126=Z96,B126=Z97,B126=Z98,B126=Z99,B126=Z100,B126=Z101,B126=Z102,B126=Z103,B126=Z104,B126=Z105,B126=Z106,B126=Z107,B126=Z108,B126=Z109,B126=Z110,B126=Z111,B126=Z112,B126=Z113,B126=Z114),"Bourg","Erreur de saisie !")))))</f>
        <v>Ville non définie !</v>
      </c>
      <c r="D127" s="11"/>
      <c r="E127" s="12"/>
      <c r="F127" s="12"/>
      <c r="G127" s="21" t="s">
        <v>164</v>
      </c>
      <c r="H127" s="37" t="s">
        <v>8</v>
      </c>
      <c r="I127" s="33">
        <f>SUM(IF(B127="Capitale",4,IF(B127="Ville majeure",3,IF(B127="Ville mineure",3,IF(B127="Bourg",2,0)))),IF(D134="Oui",1,0),IF(H126&gt;160,0,IF(H126&gt;80,-1,-2)))</f>
        <v>0</v>
      </c>
      <c r="J127" s="34"/>
      <c r="M127" s="45" t="s">
        <v>15</v>
      </c>
      <c r="N127" s="51" t="str">
        <f>IF(N126="","Ville non définie !",IF(OR(N126=Z4,N126=Z5),"Capitale",IF(OR(N126=Z8,N126=Z9,N126=Z10,N126=Z11,N126=Z12,N126=Z13,N126=Z14,N126=Z15,N126=Z16,N126=Z17,N126=Z18,N126=Z19,N126=Z20,N126=Z21,N126=Z22,N126=Z23,N126=Z24,N126=Z25,N126=Z26),"Ville majeure",IF(OR(N126=Z29,N126=Z30,N126=Z31,N126=Z32,N126=Z33,N126=Z34,N126=Z35,N126=Z36,N126=Z37,N126=Z38,N126=Z39,N126=Z40,N126=Z41,N126=Z42,N126=Z43,N126=Z44,N126=Z45,N126=Z46,N126=Z47,N126=Z48,N126=Z49,N126=Z50,N126=Z51,N126=Z52,N126=Z53,N126=Z54,N126=Z55,N126=Z56,N126=Z57,N126=Z58,N126=Z59,N126=Z60,N126=Z61,N126=Z62,N126=Z63,N126=Z64,N126=Z65,N126=Z66,N126=Z67,N126=Z68,N126=Z69,N126=Z70,N126=Z71),"Ville mineure",IF(OR(N126=Z74,N126=Z75,N126=Z76,N126=Z77,N126=Z78,N126=Z79,N126=Z80,N126=Z81,N126=Z82,N126=Z83,N126=Z84,N126=Z85,N126=Z86,N126=Z87,N126=Z88,N126=Z89,N126=Z90,N126=Z91,N126=Z92,N126=Z93,N126=Z94,N126=Z95,N126=Z96,N126=Z97,N126=Z98,N126=Z99,N126=Z100,N126=Z101,N126=Z102,N126=Z103,N126=Z104,N126=Z105,N126=Z106,N126=Z107,N126=Z108,N126=Z109,N126=Z110,N126=Z111,N126=Z112,N126=Z113,N126=Z114),"Bourg","Erreur de saisie !")))))</f>
        <v>Ville non définie !</v>
      </c>
      <c r="P127" s="11"/>
      <c r="Q127" s="12"/>
      <c r="R127" s="12"/>
      <c r="S127" s="21" t="s">
        <v>164</v>
      </c>
      <c r="T127" s="37" t="s">
        <v>8</v>
      </c>
      <c r="U127" s="33">
        <f>SUM(IF(N127="Capitale",4,IF(N127="Ville majeure",3,IF(N127="Ville mineure",3,IF(N127="Bourg",2,0)))),IF(P134="Oui",1,0),IF(T126&gt;160,0,IF(T126&gt;80,-1,-2)))</f>
        <v>0</v>
      </c>
      <c r="V127" s="34"/>
      <c r="Y127" s="6" t="s">
        <v>84</v>
      </c>
    </row>
    <row r="128" spans="1:26" x14ac:dyDescent="0.25">
      <c r="A128" s="45" t="s">
        <v>14</v>
      </c>
      <c r="B128" s="52">
        <f>IF(B127="Capitale",7,IF(B127="Ville majeure",6,IF(B127="Ville mineure",4,IF(B127="Bourg",2,0))))</f>
        <v>0</v>
      </c>
      <c r="D128" s="11"/>
      <c r="E128" s="12"/>
      <c r="F128" s="12"/>
      <c r="G128" s="21" t="s">
        <v>155</v>
      </c>
      <c r="H128" s="37" t="s">
        <v>13</v>
      </c>
      <c r="I128" s="33">
        <f>IF(H126&lt;150,100,250-H126)</f>
        <v>0</v>
      </c>
      <c r="J128" s="34" t="s">
        <v>153</v>
      </c>
      <c r="M128" s="45" t="s">
        <v>14</v>
      </c>
      <c r="N128" s="52">
        <f>IF(N127="Capitale",7,IF(N127="Ville majeure",6,IF(N127="Ville mineure",4,IF(N127="Bourg",2,0))))</f>
        <v>0</v>
      </c>
      <c r="P128" s="11"/>
      <c r="Q128" s="12"/>
      <c r="R128" s="12"/>
      <c r="S128" s="21" t="s">
        <v>155</v>
      </c>
      <c r="T128" s="37" t="s">
        <v>13</v>
      </c>
      <c r="U128" s="33">
        <f>IF(T126&lt;150,100,250-T126)</f>
        <v>0</v>
      </c>
      <c r="V128" s="34" t="s">
        <v>153</v>
      </c>
      <c r="Y128" s="6" t="s">
        <v>85</v>
      </c>
    </row>
    <row r="129" spans="1:25" x14ac:dyDescent="0.25">
      <c r="A129" s="45" t="s">
        <v>149</v>
      </c>
      <c r="B129" s="52">
        <f>COUNTIF(D134:D140,"Oui")</f>
        <v>0</v>
      </c>
      <c r="D129" s="13"/>
      <c r="E129" s="14"/>
      <c r="F129" s="14"/>
      <c r="G129" s="18" t="s">
        <v>154</v>
      </c>
      <c r="H129" s="38" t="s">
        <v>13</v>
      </c>
      <c r="I129" s="35">
        <f>IF(H126&lt;150,100,300-H126-0.5*I128)</f>
        <v>50</v>
      </c>
      <c r="J129" s="36" t="s">
        <v>153</v>
      </c>
      <c r="M129" s="45" t="s">
        <v>149</v>
      </c>
      <c r="N129" s="52">
        <f>COUNTIF(P134:P140,"Oui")</f>
        <v>0</v>
      </c>
      <c r="P129" s="13"/>
      <c r="Q129" s="14"/>
      <c r="R129" s="14"/>
      <c r="S129" s="18" t="s">
        <v>154</v>
      </c>
      <c r="T129" s="38" t="s">
        <v>13</v>
      </c>
      <c r="U129" s="35">
        <f>IF(T126&lt;150,100,300-T126-0.5*U128)</f>
        <v>50</v>
      </c>
      <c r="V129" s="36" t="s">
        <v>153</v>
      </c>
      <c r="Y129" s="5"/>
    </row>
    <row r="130" spans="1:25" x14ac:dyDescent="0.25">
      <c r="A130" s="46" t="s">
        <v>204</v>
      </c>
      <c r="B130" s="53" t="s">
        <v>12</v>
      </c>
      <c r="M130" s="46" t="s">
        <v>204</v>
      </c>
      <c r="N130" s="53" t="s">
        <v>12</v>
      </c>
      <c r="Y130" s="3" t="s">
        <v>65</v>
      </c>
    </row>
    <row r="131" spans="1:25" x14ac:dyDescent="0.25">
      <c r="D131" s="84" t="s">
        <v>10</v>
      </c>
      <c r="E131" s="86"/>
      <c r="F131" s="84" t="s">
        <v>7</v>
      </c>
      <c r="G131" s="85"/>
      <c r="H131" s="84" t="s">
        <v>158</v>
      </c>
      <c r="I131" s="85"/>
      <c r="J131" s="86"/>
      <c r="P131" s="84" t="s">
        <v>10</v>
      </c>
      <c r="Q131" s="86"/>
      <c r="R131" s="84" t="s">
        <v>7</v>
      </c>
      <c r="S131" s="85"/>
      <c r="T131" s="84" t="s">
        <v>158</v>
      </c>
      <c r="U131" s="85"/>
      <c r="V131" s="86"/>
      <c r="Y131" t="s">
        <v>66</v>
      </c>
    </row>
    <row r="132" spans="1:25" x14ac:dyDescent="0.25">
      <c r="D132" s="87" t="s">
        <v>6</v>
      </c>
      <c r="E132" s="89"/>
      <c r="F132" s="87" t="s">
        <v>9</v>
      </c>
      <c r="G132" s="88"/>
      <c r="H132" s="87" t="s">
        <v>157</v>
      </c>
      <c r="I132" s="88"/>
      <c r="J132" s="89"/>
      <c r="P132" s="87" t="s">
        <v>6</v>
      </c>
      <c r="Q132" s="89"/>
      <c r="R132" s="87" t="s">
        <v>9</v>
      </c>
      <c r="S132" s="88"/>
      <c r="T132" s="87" t="s">
        <v>157</v>
      </c>
      <c r="U132" s="88"/>
      <c r="V132" s="89"/>
      <c r="Y132" s="5" t="s">
        <v>78</v>
      </c>
    </row>
    <row r="133" spans="1:25" x14ac:dyDescent="0.25">
      <c r="A133" s="9" t="s">
        <v>0</v>
      </c>
      <c r="B133" s="10"/>
      <c r="C133" s="10"/>
      <c r="D133" s="20" t="s">
        <v>13</v>
      </c>
      <c r="E133" s="16"/>
      <c r="F133" s="25" t="s">
        <v>8</v>
      </c>
      <c r="G133" s="26">
        <f>IF(B127="Capitale",20000,IF(B127="Ville majeure",15000,IF(B127="Ville mineure",10000,IF(B127="Bourg",5000,0))))</f>
        <v>0</v>
      </c>
      <c r="H133" s="39" t="s">
        <v>8</v>
      </c>
      <c r="I133" s="90">
        <f>IF(B130="Oui",G133*(1-I129/100),IF(B130="Non",G133*(1-I128/100),"Siège ?"))</f>
        <v>0</v>
      </c>
      <c r="J133" s="91"/>
      <c r="K133" s="63">
        <f>IF(AND(NOT(B126=""),B143="Conforme aux Règles du Wargame"),1,0)</f>
        <v>0</v>
      </c>
      <c r="L133" s="63">
        <f>IF(AND(NOT(N126=""),N143="Conforme aux Règles du Wargame"),1,0)</f>
        <v>0</v>
      </c>
      <c r="M133" s="9" t="s">
        <v>0</v>
      </c>
      <c r="N133" s="10"/>
      <c r="O133" s="10"/>
      <c r="P133" s="20" t="s">
        <v>13</v>
      </c>
      <c r="Q133" s="16"/>
      <c r="R133" s="25" t="s">
        <v>8</v>
      </c>
      <c r="S133" s="26">
        <f>IF(N127="Capitale",20000,IF(N127="Ville majeure",15000,IF(N127="Ville mineure",10000,IF(N127="Bourg",5000,0))))</f>
        <v>0</v>
      </c>
      <c r="T133" s="39" t="s">
        <v>8</v>
      </c>
      <c r="U133" s="90">
        <f>IF(N130="Oui",S133*(1-U129/100),IF(N130="Non",S133*(1-U128/100),"Siège ?"))</f>
        <v>0</v>
      </c>
      <c r="V133" s="91"/>
      <c r="Y133" s="5" t="s">
        <v>79</v>
      </c>
    </row>
    <row r="134" spans="1:25" x14ac:dyDescent="0.25">
      <c r="A134" s="11" t="s">
        <v>147</v>
      </c>
      <c r="B134" s="12"/>
      <c r="C134" s="12"/>
      <c r="D134" s="23" t="s">
        <v>12</v>
      </c>
      <c r="E134" s="24"/>
      <c r="F134" s="27" t="s">
        <v>8</v>
      </c>
      <c r="G134" s="47">
        <f>IF(NOT(D134="Oui"),0,20000)</f>
        <v>0</v>
      </c>
      <c r="H134" s="37" t="s">
        <v>8</v>
      </c>
      <c r="I134" s="90">
        <f>IF(NOT(D134="OUI"),0,IF(B130="Oui",G134*(1-I129/100),IF(B130="Non",G134*(1-I128/100),"Siège ?")))</f>
        <v>0</v>
      </c>
      <c r="J134" s="91"/>
      <c r="K134" s="63">
        <f>IF(AND(D134="Oui",B143="Conforme aux Règles du Wargame"),1,0)</f>
        <v>0</v>
      </c>
      <c r="L134" s="63">
        <f>IF(AND(P134="Oui",N143="Conforme aux Règles du Wargame"),1,0)</f>
        <v>0</v>
      </c>
      <c r="M134" s="11" t="s">
        <v>147</v>
      </c>
      <c r="N134" s="12"/>
      <c r="O134" s="12"/>
      <c r="P134" s="23" t="s">
        <v>12</v>
      </c>
      <c r="Q134" s="24"/>
      <c r="R134" s="27" t="s">
        <v>8</v>
      </c>
      <c r="S134" s="47">
        <f>IF(NOT(P134="Oui"),0,20000)</f>
        <v>0</v>
      </c>
      <c r="T134" s="37" t="s">
        <v>8</v>
      </c>
      <c r="U134" s="90">
        <f>IF(NOT(P134="OUI"),0,IF(N130="Oui",S134*(1-U129/100),IF(N130="Non",S134*(1-U128/100),"Siège ?")))</f>
        <v>0</v>
      </c>
      <c r="V134" s="91"/>
      <c r="Y134" s="6" t="s">
        <v>80</v>
      </c>
    </row>
    <row r="135" spans="1:25" x14ac:dyDescent="0.25">
      <c r="A135" s="11" t="s">
        <v>2</v>
      </c>
      <c r="B135" s="12"/>
      <c r="C135" s="12"/>
      <c r="D135" s="23" t="s">
        <v>12</v>
      </c>
      <c r="E135" s="24"/>
      <c r="F135" s="27" t="s">
        <v>8</v>
      </c>
      <c r="G135" s="47">
        <f>IF(NOT(D135="Oui"),0,15000)</f>
        <v>0</v>
      </c>
      <c r="H135" s="37" t="s">
        <v>8</v>
      </c>
      <c r="I135" s="90">
        <f>IF(NOT(D135="OUI"),0,IF(B130="Oui",G135*(1-I129/100),IF(B130="Non",G135*(1-I128/100),"Siège ?")))</f>
        <v>0</v>
      </c>
      <c r="J135" s="91"/>
      <c r="K135" s="63">
        <f>IF(AND(D135="Oui",B143="Conforme aux Règles du Wargame"),1,0)</f>
        <v>0</v>
      </c>
      <c r="L135" s="63">
        <f>IF(AND(P135="Oui",N143="Conforme aux Règles du Wargame"),1,0)</f>
        <v>0</v>
      </c>
      <c r="M135" s="11" t="s">
        <v>2</v>
      </c>
      <c r="N135" s="12"/>
      <c r="O135" s="12"/>
      <c r="P135" s="23" t="s">
        <v>12</v>
      </c>
      <c r="Q135" s="24"/>
      <c r="R135" s="27" t="s">
        <v>8</v>
      </c>
      <c r="S135" s="47">
        <f>IF(NOT(P135="Oui"),0,15000)</f>
        <v>0</v>
      </c>
      <c r="T135" s="37" t="s">
        <v>8</v>
      </c>
      <c r="U135" s="90">
        <f>IF(NOT(P135="OUI"),0,IF(N130="Oui",S135*(1-U129/100),IF(N130="Non",S135*(1-U128/100),"Siège ?")))</f>
        <v>0</v>
      </c>
      <c r="V135" s="91"/>
      <c r="Y135" s="6" t="s">
        <v>81</v>
      </c>
    </row>
    <row r="136" spans="1:25" x14ac:dyDescent="0.25">
      <c r="A136" s="11" t="s">
        <v>1</v>
      </c>
      <c r="B136" s="12"/>
      <c r="C136" s="12"/>
      <c r="D136" s="23" t="s">
        <v>12</v>
      </c>
      <c r="E136" s="24"/>
      <c r="F136" s="27" t="s">
        <v>8</v>
      </c>
      <c r="G136" s="47">
        <f>IF(NOT(D136="Oui"),0,7000)</f>
        <v>0</v>
      </c>
      <c r="H136" s="37" t="s">
        <v>8</v>
      </c>
      <c r="I136" s="90">
        <f>IF(NOT(D136="OUI"),0,IF(B130="Oui",G136*(1-I129/100),IF(B130="Non",G136*(1-I128/100),"Siège ?")))</f>
        <v>0</v>
      </c>
      <c r="J136" s="91"/>
      <c r="K136" s="63">
        <f>IF(AND(D136="Oui",B143="Conforme aux Règles du Wargame"),1,0)</f>
        <v>0</v>
      </c>
      <c r="L136" s="63">
        <f>IF(AND(P136="Oui",N143="Conforme aux Règles du Wargame"),1,0)</f>
        <v>0</v>
      </c>
      <c r="M136" s="11" t="s">
        <v>1</v>
      </c>
      <c r="N136" s="12"/>
      <c r="O136" s="12"/>
      <c r="P136" s="23" t="s">
        <v>12</v>
      </c>
      <c r="Q136" s="24"/>
      <c r="R136" s="27" t="s">
        <v>8</v>
      </c>
      <c r="S136" s="47">
        <f>IF(NOT(P136="Oui"),0,7000)</f>
        <v>0</v>
      </c>
      <c r="T136" s="37" t="s">
        <v>8</v>
      </c>
      <c r="U136" s="90">
        <f>IF(NOT(P136="OUI"),0,IF(N130="Oui",S136*(1-U129/100),IF(N130="Non",S136*(1-U128/100),"Siège ?")))</f>
        <v>0</v>
      </c>
      <c r="V136" s="91"/>
      <c r="Y136" s="5"/>
    </row>
    <row r="137" spans="1:25" x14ac:dyDescent="0.25">
      <c r="A137" s="11" t="s">
        <v>3</v>
      </c>
      <c r="B137" s="12"/>
      <c r="C137" s="12"/>
      <c r="D137" s="23" t="s">
        <v>12</v>
      </c>
      <c r="E137" s="24"/>
      <c r="F137" s="27" t="s">
        <v>8</v>
      </c>
      <c r="G137" s="47">
        <f>IF(NOT(D137="Oui"),0,3000)</f>
        <v>0</v>
      </c>
      <c r="H137" s="37" t="s">
        <v>8</v>
      </c>
      <c r="I137" s="90">
        <f>IF(NOT(D137="OUI"),0,IF(B130="Oui",G137*(1-I129/100),IF(B130="Non",G137*(1-I128/100),"Siège ?")))</f>
        <v>0</v>
      </c>
      <c r="J137" s="91"/>
      <c r="K137" s="63">
        <f>IF(AND(D137="Oui",B143="Conforme aux Règles du Wargame"),1,0)</f>
        <v>0</v>
      </c>
      <c r="L137" s="63">
        <f>IF(AND(P137="Oui",N143="Conforme aux Règles du Wargame"),1,0)</f>
        <v>0</v>
      </c>
      <c r="M137" s="11" t="s">
        <v>3</v>
      </c>
      <c r="N137" s="12"/>
      <c r="O137" s="12"/>
      <c r="P137" s="23" t="s">
        <v>12</v>
      </c>
      <c r="Q137" s="24"/>
      <c r="R137" s="27" t="s">
        <v>8</v>
      </c>
      <c r="S137" s="47">
        <f>IF(NOT(P137="Oui"),0,3000)</f>
        <v>0</v>
      </c>
      <c r="T137" s="37" t="s">
        <v>8</v>
      </c>
      <c r="U137" s="90">
        <f>IF(NOT(P137="OUI"),0,IF(N130="Oui",S137*(1-U129/100),IF(N130="Non",S137*(1-U128/100),"Siège ?")))</f>
        <v>0</v>
      </c>
      <c r="V137" s="91"/>
      <c r="Y137" s="3" t="s">
        <v>67</v>
      </c>
    </row>
    <row r="138" spans="1:25" x14ac:dyDescent="0.25">
      <c r="A138" s="11" t="s">
        <v>4</v>
      </c>
      <c r="B138" s="12"/>
      <c r="C138" s="12"/>
      <c r="D138" s="23" t="s">
        <v>12</v>
      </c>
      <c r="E138" s="24"/>
      <c r="F138" s="32"/>
      <c r="G138" s="32"/>
      <c r="H138" s="29"/>
      <c r="I138" s="95"/>
      <c r="J138" s="96"/>
      <c r="K138" s="63">
        <f>IF(AND(D138="Oui",B143="Conforme aux Règles du Wargame",B130="Non"),1,0)</f>
        <v>0</v>
      </c>
      <c r="L138" s="63">
        <f>IF(AND(P138="Oui",N143="Conforme aux Règles du Wargame",N130="Non"),1,0)</f>
        <v>0</v>
      </c>
      <c r="M138" s="11" t="s">
        <v>4</v>
      </c>
      <c r="N138" s="12"/>
      <c r="O138" s="12"/>
      <c r="P138" s="23" t="s">
        <v>12</v>
      </c>
      <c r="Q138" s="24"/>
      <c r="R138" s="32"/>
      <c r="S138" s="32"/>
      <c r="T138" s="29"/>
      <c r="U138" s="95"/>
      <c r="V138" s="96"/>
      <c r="Y138" t="s">
        <v>68</v>
      </c>
    </row>
    <row r="139" spans="1:25" x14ac:dyDescent="0.25">
      <c r="A139" s="11" t="s">
        <v>5</v>
      </c>
      <c r="B139" s="12"/>
      <c r="C139" s="12"/>
      <c r="D139" s="23" t="s">
        <v>12</v>
      </c>
      <c r="E139" s="24"/>
      <c r="F139" s="32"/>
      <c r="G139" s="32"/>
      <c r="H139" s="29"/>
      <c r="I139" s="95"/>
      <c r="J139" s="96"/>
      <c r="K139" s="63">
        <f>IF(AND(D139="Oui",B143="Conforme aux Règles du Wargame",B130="Non"),1,0)</f>
        <v>0</v>
      </c>
      <c r="L139" s="63">
        <f>IF(AND(P139="Oui",N143="Conforme aux Règles du Wargame",N130="Non"),1,0)</f>
        <v>0</v>
      </c>
      <c r="M139" s="11" t="s">
        <v>5</v>
      </c>
      <c r="N139" s="12"/>
      <c r="O139" s="12"/>
      <c r="P139" s="23" t="s">
        <v>12</v>
      </c>
      <c r="Q139" s="24"/>
      <c r="R139" s="32"/>
      <c r="S139" s="32"/>
      <c r="T139" s="29"/>
      <c r="U139" s="95"/>
      <c r="V139" s="96"/>
      <c r="Y139" s="5" t="s">
        <v>74</v>
      </c>
    </row>
    <row r="140" spans="1:25" x14ac:dyDescent="0.25">
      <c r="A140" s="11" t="s">
        <v>156</v>
      </c>
      <c r="B140" s="12"/>
      <c r="C140" s="12"/>
      <c r="D140" s="23" t="s">
        <v>12</v>
      </c>
      <c r="E140" s="24"/>
      <c r="F140" s="32"/>
      <c r="G140" s="32"/>
      <c r="H140" s="29"/>
      <c r="I140" s="97"/>
      <c r="J140" s="98"/>
      <c r="K140" s="63">
        <f>IF(AND(D140="Oui",B143="Conforme aux Règles du Wargame",B130="Non"),1,0)</f>
        <v>0</v>
      </c>
      <c r="L140" s="63">
        <f>IF(AND(P140="Oui",N143="Conforme aux Règles du Wargame",N130="Non"),1,0)</f>
        <v>0</v>
      </c>
      <c r="M140" s="11" t="s">
        <v>156</v>
      </c>
      <c r="N140" s="12"/>
      <c r="O140" s="12"/>
      <c r="P140" s="23" t="s">
        <v>12</v>
      </c>
      <c r="Q140" s="24"/>
      <c r="R140" s="32"/>
      <c r="S140" s="32"/>
      <c r="T140" s="29"/>
      <c r="U140" s="97"/>
      <c r="V140" s="98"/>
      <c r="Y140" s="5" t="s">
        <v>75</v>
      </c>
    </row>
    <row r="141" spans="1:25" x14ac:dyDescent="0.25">
      <c r="A141" s="9" t="s">
        <v>161</v>
      </c>
      <c r="B141" s="10"/>
      <c r="C141" s="10"/>
      <c r="D141" s="9"/>
      <c r="E141" s="16"/>
      <c r="F141" s="48" t="s">
        <v>8</v>
      </c>
      <c r="G141" s="30">
        <f>SUM(G133:G137)</f>
        <v>0</v>
      </c>
      <c r="H141" s="41" t="s">
        <v>160</v>
      </c>
      <c r="I141" s="41"/>
      <c r="J141" s="42"/>
      <c r="M141" s="9" t="s">
        <v>161</v>
      </c>
      <c r="N141" s="10"/>
      <c r="O141" s="10"/>
      <c r="P141" s="9"/>
      <c r="Q141" s="16"/>
      <c r="R141" s="48" t="s">
        <v>8</v>
      </c>
      <c r="S141" s="30">
        <f>SUM(S133:S137)</f>
        <v>0</v>
      </c>
      <c r="T141" s="41" t="s">
        <v>160</v>
      </c>
      <c r="U141" s="41"/>
      <c r="V141" s="42"/>
      <c r="Y141" s="6" t="s">
        <v>76</v>
      </c>
    </row>
    <row r="142" spans="1:25" x14ac:dyDescent="0.25">
      <c r="A142" s="13" t="s">
        <v>162</v>
      </c>
      <c r="B142" s="14"/>
      <c r="C142" s="14"/>
      <c r="D142" s="13"/>
      <c r="E142" s="15"/>
      <c r="F142" s="49" t="s">
        <v>8</v>
      </c>
      <c r="G142" s="31">
        <f>IF(B143="Conforme aux Règles du Wargame",SUM(I133:I137),0)</f>
        <v>0</v>
      </c>
      <c r="H142" s="43" t="s">
        <v>160</v>
      </c>
      <c r="I142" s="43"/>
      <c r="J142" s="44"/>
      <c r="M142" s="13" t="s">
        <v>162</v>
      </c>
      <c r="N142" s="14"/>
      <c r="O142" s="14"/>
      <c r="P142" s="13"/>
      <c r="Q142" s="15"/>
      <c r="R142" s="49" t="s">
        <v>8</v>
      </c>
      <c r="S142" s="31">
        <f>IF(N143="Conforme aux Règles du Wargame",SUM(U133:U137),0)</f>
        <v>0</v>
      </c>
      <c r="T142" s="43" t="s">
        <v>160</v>
      </c>
      <c r="U142" s="43"/>
      <c r="V142" s="44"/>
      <c r="Y142" s="6" t="s">
        <v>77</v>
      </c>
    </row>
    <row r="143" spans="1:25" x14ac:dyDescent="0.25">
      <c r="A143" s="22" t="s">
        <v>150</v>
      </c>
      <c r="B143" s="92" t="str">
        <f>IF(B127="Ville non définie !","Ville non définie !",IF(B127="Erreur de saisie !","Erreur de saisie !",IF(B129&gt;B128,"Refusé : Trop de bâtiments !",IF(AND(D134="OUI",NOT(OR(B127="Ville majeure",B127="Capitale"))),"Refusé : Palais valide que dans les Capitales ou les Villes majeures !", "Conforme aux Règles du Wargame"))))</f>
        <v>Ville non définie !</v>
      </c>
      <c r="C143" s="93"/>
      <c r="D143" s="93"/>
      <c r="E143" s="93"/>
      <c r="F143" s="93"/>
      <c r="G143" s="93"/>
      <c r="H143" s="93"/>
      <c r="I143" s="93"/>
      <c r="J143" s="94"/>
      <c r="M143" s="22" t="s">
        <v>150</v>
      </c>
      <c r="N143" s="92" t="str">
        <f>IF(N127="Ville non définie !","Ville non définie !",IF(N127="Erreur de saisie !","Erreur de saisie !",IF(N129&gt;N128,"Refusé : Trop de bâtiments !",IF(AND(P134="OUI",NOT(OR(N127="Ville majeure",N127="Capitale"))),"Refusé : Palais valide que dans les Capitales ou les Villes majeures !", "Conforme aux Règles du Wargame"))))</f>
        <v>Ville non définie !</v>
      </c>
      <c r="O143" s="93"/>
      <c r="P143" s="93"/>
      <c r="Q143" s="93"/>
      <c r="R143" s="93"/>
      <c r="S143" s="93"/>
      <c r="T143" s="93"/>
      <c r="U143" s="93"/>
      <c r="V143" s="94"/>
      <c r="Y143" s="5"/>
    </row>
    <row r="144" spans="1:25" x14ac:dyDescent="0.25">
      <c r="Y144" s="3" t="s">
        <v>69</v>
      </c>
    </row>
    <row r="145" spans="25:25" x14ac:dyDescent="0.25">
      <c r="Y145" s="4" t="s">
        <v>70</v>
      </c>
    </row>
    <row r="146" spans="25:25" x14ac:dyDescent="0.25">
      <c r="Y146" s="5" t="s">
        <v>71</v>
      </c>
    </row>
    <row r="147" spans="25:25" x14ac:dyDescent="0.25">
      <c r="Y147" s="5" t="s">
        <v>72</v>
      </c>
    </row>
    <row r="148" spans="25:25" x14ac:dyDescent="0.25">
      <c r="Y148" s="6" t="s">
        <v>73</v>
      </c>
    </row>
  </sheetData>
  <sortState ref="Z74:Z114">
    <sortCondition ref="Z114"/>
  </sortState>
  <mergeCells count="205">
    <mergeCell ref="B143:J143"/>
    <mergeCell ref="N143:V143"/>
    <mergeCell ref="K18:N18"/>
    <mergeCell ref="G18:J18"/>
    <mergeCell ref="I138:J138"/>
    <mergeCell ref="U138:V138"/>
    <mergeCell ref="I139:J139"/>
    <mergeCell ref="U139:V139"/>
    <mergeCell ref="I140:J140"/>
    <mergeCell ref="U140:V140"/>
    <mergeCell ref="I135:J135"/>
    <mergeCell ref="U135:V135"/>
    <mergeCell ref="I136:J136"/>
    <mergeCell ref="U136:V136"/>
    <mergeCell ref="I137:J137"/>
    <mergeCell ref="U137:V137"/>
    <mergeCell ref="T132:V132"/>
    <mergeCell ref="I133:J133"/>
    <mergeCell ref="U133:V133"/>
    <mergeCell ref="I134:J134"/>
    <mergeCell ref="U134:V134"/>
    <mergeCell ref="D132:E132"/>
    <mergeCell ref="F132:G132"/>
    <mergeCell ref="H132:J132"/>
    <mergeCell ref="P132:Q132"/>
    <mergeCell ref="R132:S132"/>
    <mergeCell ref="B122:J122"/>
    <mergeCell ref="N122:V122"/>
    <mergeCell ref="H126:I126"/>
    <mergeCell ref="T126:U126"/>
    <mergeCell ref="D131:E131"/>
    <mergeCell ref="F131:G131"/>
    <mergeCell ref="H131:J131"/>
    <mergeCell ref="P131:Q131"/>
    <mergeCell ref="R131:S131"/>
    <mergeCell ref="T131:V131"/>
    <mergeCell ref="I117:J117"/>
    <mergeCell ref="U117:V117"/>
    <mergeCell ref="I118:J118"/>
    <mergeCell ref="U118:V118"/>
    <mergeCell ref="I119:J119"/>
    <mergeCell ref="U119:V119"/>
    <mergeCell ref="I114:J114"/>
    <mergeCell ref="U114:V114"/>
    <mergeCell ref="I115:J115"/>
    <mergeCell ref="U115:V115"/>
    <mergeCell ref="I116:J116"/>
    <mergeCell ref="U116:V116"/>
    <mergeCell ref="T111:V111"/>
    <mergeCell ref="I112:J112"/>
    <mergeCell ref="U112:V112"/>
    <mergeCell ref="I113:J113"/>
    <mergeCell ref="U113:V113"/>
    <mergeCell ref="D111:E111"/>
    <mergeCell ref="F111:G111"/>
    <mergeCell ref="H111:J111"/>
    <mergeCell ref="P111:Q111"/>
    <mergeCell ref="R111:S111"/>
    <mergeCell ref="H105:I105"/>
    <mergeCell ref="T105:U105"/>
    <mergeCell ref="D110:E110"/>
    <mergeCell ref="F110:G110"/>
    <mergeCell ref="H110:J110"/>
    <mergeCell ref="P110:Q110"/>
    <mergeCell ref="R110:S110"/>
    <mergeCell ref="T110:V110"/>
    <mergeCell ref="I97:J97"/>
    <mergeCell ref="U97:V97"/>
    <mergeCell ref="I98:J98"/>
    <mergeCell ref="U98:V98"/>
    <mergeCell ref="B101:J101"/>
    <mergeCell ref="N101:V101"/>
    <mergeCell ref="I94:J94"/>
    <mergeCell ref="U94:V94"/>
    <mergeCell ref="I95:J95"/>
    <mergeCell ref="U95:V95"/>
    <mergeCell ref="I96:J96"/>
    <mergeCell ref="U96:V96"/>
    <mergeCell ref="I91:J91"/>
    <mergeCell ref="U91:V91"/>
    <mergeCell ref="I92:J92"/>
    <mergeCell ref="U92:V92"/>
    <mergeCell ref="I93:J93"/>
    <mergeCell ref="U93:V93"/>
    <mergeCell ref="T89:V89"/>
    <mergeCell ref="D90:E90"/>
    <mergeCell ref="F90:G90"/>
    <mergeCell ref="H90:J90"/>
    <mergeCell ref="P90:Q90"/>
    <mergeCell ref="R90:S90"/>
    <mergeCell ref="T90:V90"/>
    <mergeCell ref="D89:E89"/>
    <mergeCell ref="F89:G89"/>
    <mergeCell ref="H89:J89"/>
    <mergeCell ref="P89:Q89"/>
    <mergeCell ref="R89:S89"/>
    <mergeCell ref="U76:V76"/>
    <mergeCell ref="U77:V77"/>
    <mergeCell ref="N80:V80"/>
    <mergeCell ref="H84:I84"/>
    <mergeCell ref="T84:U84"/>
    <mergeCell ref="I75:J75"/>
    <mergeCell ref="I76:J76"/>
    <mergeCell ref="I77:J77"/>
    <mergeCell ref="T63:U63"/>
    <mergeCell ref="P68:Q68"/>
    <mergeCell ref="R68:S68"/>
    <mergeCell ref="T68:V68"/>
    <mergeCell ref="P69:Q69"/>
    <mergeCell ref="R69:S69"/>
    <mergeCell ref="T69:V69"/>
    <mergeCell ref="U70:V70"/>
    <mergeCell ref="U71:V71"/>
    <mergeCell ref="U72:V72"/>
    <mergeCell ref="U73:V73"/>
    <mergeCell ref="U74:V74"/>
    <mergeCell ref="U75:V75"/>
    <mergeCell ref="B80:J80"/>
    <mergeCell ref="I70:J70"/>
    <mergeCell ref="I71:J71"/>
    <mergeCell ref="T42:U42"/>
    <mergeCell ref="H42:I42"/>
    <mergeCell ref="H63:I63"/>
    <mergeCell ref="I54:J54"/>
    <mergeCell ref="I55:J55"/>
    <mergeCell ref="I56:J56"/>
    <mergeCell ref="I35:J35"/>
    <mergeCell ref="I34:J34"/>
    <mergeCell ref="I33:J33"/>
    <mergeCell ref="U33:V33"/>
    <mergeCell ref="U34:V34"/>
    <mergeCell ref="U35:V35"/>
    <mergeCell ref="U54:V54"/>
    <mergeCell ref="B59:J59"/>
    <mergeCell ref="P47:Q47"/>
    <mergeCell ref="R47:S47"/>
    <mergeCell ref="T47:V47"/>
    <mergeCell ref="P48:Q48"/>
    <mergeCell ref="R48:S48"/>
    <mergeCell ref="T48:V48"/>
    <mergeCell ref="U49:V49"/>
    <mergeCell ref="U50:V50"/>
    <mergeCell ref="I72:J72"/>
    <mergeCell ref="I73:J73"/>
    <mergeCell ref="I74:J74"/>
    <mergeCell ref="D68:E68"/>
    <mergeCell ref="F68:G68"/>
    <mergeCell ref="H68:J68"/>
    <mergeCell ref="D69:E69"/>
    <mergeCell ref="F69:G69"/>
    <mergeCell ref="H69:J69"/>
    <mergeCell ref="U51:V51"/>
    <mergeCell ref="U52:V52"/>
    <mergeCell ref="U53:V53"/>
    <mergeCell ref="N59:V59"/>
    <mergeCell ref="U55:V55"/>
    <mergeCell ref="U56:V56"/>
    <mergeCell ref="I49:J49"/>
    <mergeCell ref="I50:J50"/>
    <mergeCell ref="I51:J51"/>
    <mergeCell ref="I52:J52"/>
    <mergeCell ref="I53:J53"/>
    <mergeCell ref="D47:E47"/>
    <mergeCell ref="F47:G47"/>
    <mergeCell ref="H47:J47"/>
    <mergeCell ref="D48:E48"/>
    <mergeCell ref="F48:G48"/>
    <mergeCell ref="H48:J48"/>
    <mergeCell ref="P26:Q26"/>
    <mergeCell ref="R26:S26"/>
    <mergeCell ref="P27:Q27"/>
    <mergeCell ref="R27:S27"/>
    <mergeCell ref="N38:V38"/>
    <mergeCell ref="I32:J32"/>
    <mergeCell ref="H27:J27"/>
    <mergeCell ref="D26:E26"/>
    <mergeCell ref="D27:E27"/>
    <mergeCell ref="B38:J38"/>
    <mergeCell ref="F26:G26"/>
    <mergeCell ref="F27:G27"/>
    <mergeCell ref="H26:J26"/>
    <mergeCell ref="U32:V32"/>
    <mergeCell ref="U30:V30"/>
    <mergeCell ref="U31:V31"/>
    <mergeCell ref="I30:J30"/>
    <mergeCell ref="I31:J31"/>
    <mergeCell ref="C15:D15"/>
    <mergeCell ref="C14:D14"/>
    <mergeCell ref="C13:D13"/>
    <mergeCell ref="C12:D12"/>
    <mergeCell ref="C16:E16"/>
    <mergeCell ref="T26:V26"/>
    <mergeCell ref="T27:V27"/>
    <mergeCell ref="U28:V28"/>
    <mergeCell ref="U29:V29"/>
    <mergeCell ref="I28:J28"/>
    <mergeCell ref="I29:J29"/>
    <mergeCell ref="T21:U21"/>
    <mergeCell ref="H21:I21"/>
    <mergeCell ref="R17:S17"/>
    <mergeCell ref="R18:S18"/>
    <mergeCell ref="R19:S19"/>
    <mergeCell ref="T17:W17"/>
    <mergeCell ref="T18:W18"/>
    <mergeCell ref="T19:W19"/>
  </mergeCells>
  <conditionalFormatting sqref="D29:D35">
    <cfRule type="cellIs" dxfId="177" priority="236" operator="equal">
      <formula>"Non"</formula>
    </cfRule>
    <cfRule type="cellIs" dxfId="176" priority="237" operator="equal">
      <formula>"Oui"</formula>
    </cfRule>
  </conditionalFormatting>
  <conditionalFormatting sqref="B25">
    <cfRule type="cellIs" dxfId="175" priority="232" operator="equal">
      <formula>"Oui"</formula>
    </cfRule>
    <cfRule type="cellIs" dxfId="174" priority="233" operator="equal">
      <formula>"Non"</formula>
    </cfRule>
  </conditionalFormatting>
  <conditionalFormatting sqref="B38:C39 N39:O39">
    <cfRule type="cellIs" dxfId="173" priority="228" operator="equal">
      <formula>"Refusé : Palais valide que dans les Capitales ou les Villes majeures !"</formula>
    </cfRule>
    <cfRule type="cellIs" dxfId="172" priority="229" operator="equal">
      <formula>"Refusé : Trop de bâtiments !"</formula>
    </cfRule>
    <cfRule type="cellIs" dxfId="171" priority="230" operator="equal">
      <formula>"Erreur de saisie !"</formula>
    </cfRule>
    <cfRule type="containsText" dxfId="170" priority="231" operator="containsText" text="Conforme aux Règles du Wargame">
      <formula>NOT(ISERROR(SEARCH("Conforme aux Règles du Wargame",B38)))</formula>
    </cfRule>
  </conditionalFormatting>
  <conditionalFormatting sqref="B22">
    <cfRule type="containsText" dxfId="169" priority="163" operator="containsText" text="Ville non définie !">
      <formula>NOT(ISERROR(SEARCH("Ville non définie !",B22)))</formula>
    </cfRule>
    <cfRule type="containsText" dxfId="168" priority="207" operator="containsText" text="Erreur de saisie !">
      <formula>NOT(ISERROR(SEARCH("Erreur de saisie !",B22)))</formula>
    </cfRule>
    <cfRule type="containsText" dxfId="167" priority="225" operator="containsText" text="Bourg">
      <formula>NOT(ISERROR(SEARCH("Bourg",B22)))</formula>
    </cfRule>
    <cfRule type="containsText" dxfId="166" priority="226" operator="containsText" text="Ville mineure">
      <formula>NOT(ISERROR(SEARCH("Ville mineure",B22)))</formula>
    </cfRule>
    <cfRule type="containsText" dxfId="165" priority="227" operator="containsText" text="Capitale">
      <formula>NOT(ISERROR(SEARCH("Capitale",B22)))</formula>
    </cfRule>
  </conditionalFormatting>
  <conditionalFormatting sqref="N40:O40">
    <cfRule type="cellIs" dxfId="164" priority="217" operator="equal">
      <formula>"Refusé : Palais valide que dans les Capitales ou Villes majeures !"</formula>
    </cfRule>
    <cfRule type="cellIs" dxfId="163" priority="218" operator="equal">
      <formula>"Refusé : Trop de bâtiments !"</formula>
    </cfRule>
    <cfRule type="cellIs" dxfId="162" priority="219" operator="equal">
      <formula>"Erreur de saisie !"</formula>
    </cfRule>
    <cfRule type="cellIs" dxfId="161" priority="220" operator="equal">
      <formula>"Conforme aux Règles"</formula>
    </cfRule>
  </conditionalFormatting>
  <conditionalFormatting sqref="P29:P35">
    <cfRule type="cellIs" dxfId="160" priority="205" operator="equal">
      <formula>"Non"</formula>
    </cfRule>
    <cfRule type="cellIs" dxfId="159" priority="206" operator="equal">
      <formula>"Oui"</formula>
    </cfRule>
  </conditionalFormatting>
  <conditionalFormatting sqref="N25">
    <cfRule type="cellIs" dxfId="158" priority="203" operator="equal">
      <formula>"Oui"</formula>
    </cfRule>
    <cfRule type="cellIs" dxfId="157" priority="204" operator="equal">
      <formula>"Non"</formula>
    </cfRule>
  </conditionalFormatting>
  <conditionalFormatting sqref="N22">
    <cfRule type="containsText" dxfId="156" priority="162" operator="containsText" text="Ville non définie !">
      <formula>NOT(ISERROR(SEARCH("Ville non définie !",N22)))</formula>
    </cfRule>
    <cfRule type="containsText" dxfId="155" priority="195" operator="containsText" text="Erreur de saisie !">
      <formula>NOT(ISERROR(SEARCH("Erreur de saisie !",N22)))</formula>
    </cfRule>
    <cfRule type="containsText" dxfId="154" priority="196" operator="containsText" text="Bourg">
      <formula>NOT(ISERROR(SEARCH("Bourg",N22)))</formula>
    </cfRule>
    <cfRule type="containsText" dxfId="153" priority="197" operator="containsText" text="Ville mineure">
      <formula>NOT(ISERROR(SEARCH("Ville mineure",N22)))</formula>
    </cfRule>
    <cfRule type="containsText" dxfId="152" priority="198" operator="containsText" text="Capitale">
      <formula>NOT(ISERROR(SEARCH("Capitale",N22)))</formula>
    </cfRule>
  </conditionalFormatting>
  <conditionalFormatting sqref="U28:V32 I28:J32">
    <cfRule type="containsText" dxfId="151" priority="194" operator="containsText" text="Siège ?">
      <formula>NOT(ISERROR(SEARCH("Siège ?",I28)))</formula>
    </cfRule>
  </conditionalFormatting>
  <conditionalFormatting sqref="N38:O38">
    <cfRule type="cellIs" dxfId="150" priority="190" operator="equal">
      <formula>"Refusé : Palais valide que dans les Capitales ou les Villes majeures !"</formula>
    </cfRule>
    <cfRule type="cellIs" dxfId="149" priority="191" operator="equal">
      <formula>"Refusé : Trop de bâtiments !"</formula>
    </cfRule>
    <cfRule type="cellIs" dxfId="148" priority="192" operator="equal">
      <formula>"Erreur de saisie !"</formula>
    </cfRule>
    <cfRule type="containsText" dxfId="147" priority="193" operator="containsText" text="Conforme aux Règles du Wargame">
      <formula>NOT(ISERROR(SEARCH("Conforme aux Règles du Wargame",N38)))</formula>
    </cfRule>
  </conditionalFormatting>
  <conditionalFormatting sqref="D50:D56">
    <cfRule type="cellIs" dxfId="146" priority="159" operator="equal">
      <formula>"Non"</formula>
    </cfRule>
    <cfRule type="cellIs" dxfId="145" priority="160" operator="equal">
      <formula>"Oui"</formula>
    </cfRule>
  </conditionalFormatting>
  <conditionalFormatting sqref="B46">
    <cfRule type="cellIs" dxfId="144" priority="157" operator="equal">
      <formula>"Oui"</formula>
    </cfRule>
    <cfRule type="cellIs" dxfId="143" priority="158" operator="equal">
      <formula>"Non"</formula>
    </cfRule>
  </conditionalFormatting>
  <conditionalFormatting sqref="B59:C59">
    <cfRule type="cellIs" dxfId="142" priority="153" operator="equal">
      <formula>"Refusé : Palais valide que dans les Capitales ou les Villes majeures !"</formula>
    </cfRule>
    <cfRule type="cellIs" dxfId="141" priority="154" operator="equal">
      <formula>"Refusé : Trop de bâtiments !"</formula>
    </cfRule>
    <cfRule type="cellIs" dxfId="140" priority="155" operator="equal">
      <formula>"Erreur de saisie !"</formula>
    </cfRule>
    <cfRule type="containsText" dxfId="139" priority="156" operator="containsText" text="Conforme aux Règles du Wargame">
      <formula>NOT(ISERROR(SEARCH("Conforme aux Règles du Wargame",B59)))</formula>
    </cfRule>
  </conditionalFormatting>
  <conditionalFormatting sqref="B43">
    <cfRule type="containsText" dxfId="138" priority="147" operator="containsText" text="Ville non définie !">
      <formula>NOT(ISERROR(SEARCH("Ville non définie !",B43)))</formula>
    </cfRule>
    <cfRule type="containsText" dxfId="137" priority="149" operator="containsText" text="Erreur de saisie !">
      <formula>NOT(ISERROR(SEARCH("Erreur de saisie !",B43)))</formula>
    </cfRule>
    <cfRule type="containsText" dxfId="136" priority="150" operator="containsText" text="Bourg">
      <formula>NOT(ISERROR(SEARCH("Bourg",B43)))</formula>
    </cfRule>
    <cfRule type="containsText" dxfId="135" priority="151" operator="containsText" text="Ville mineure">
      <formula>NOT(ISERROR(SEARCH("Ville mineure",B43)))</formula>
    </cfRule>
    <cfRule type="containsText" dxfId="134" priority="152" operator="containsText" text="Capitale">
      <formula>NOT(ISERROR(SEARCH("Capitale",B43)))</formula>
    </cfRule>
  </conditionalFormatting>
  <conditionalFormatting sqref="I49:J53">
    <cfRule type="containsText" dxfId="133" priority="148" operator="containsText" text="Siège ?">
      <formula>NOT(ISERROR(SEARCH("Siège ?",I49)))</formula>
    </cfRule>
  </conditionalFormatting>
  <conditionalFormatting sqref="P50:P56">
    <cfRule type="cellIs" dxfId="132" priority="145" operator="equal">
      <formula>"Non"</formula>
    </cfRule>
    <cfRule type="cellIs" dxfId="131" priority="146" operator="equal">
      <formula>"Oui"</formula>
    </cfRule>
  </conditionalFormatting>
  <conditionalFormatting sqref="N46">
    <cfRule type="cellIs" dxfId="130" priority="143" operator="equal">
      <formula>"Oui"</formula>
    </cfRule>
    <cfRule type="cellIs" dxfId="129" priority="144" operator="equal">
      <formula>"Non"</formula>
    </cfRule>
  </conditionalFormatting>
  <conditionalFormatting sqref="N43">
    <cfRule type="containsText" dxfId="128" priority="133" operator="containsText" text="Ville non définie !">
      <formula>NOT(ISERROR(SEARCH("Ville non définie !",N43)))</formula>
    </cfRule>
    <cfRule type="containsText" dxfId="127" priority="139" operator="containsText" text="Erreur de saisie !">
      <formula>NOT(ISERROR(SEARCH("Erreur de saisie !",N43)))</formula>
    </cfRule>
    <cfRule type="containsText" dxfId="126" priority="140" operator="containsText" text="Bourg">
      <formula>NOT(ISERROR(SEARCH("Bourg",N43)))</formula>
    </cfRule>
    <cfRule type="containsText" dxfId="125" priority="141" operator="containsText" text="Ville mineure">
      <formula>NOT(ISERROR(SEARCH("Ville mineure",N43)))</formula>
    </cfRule>
    <cfRule type="containsText" dxfId="124" priority="142" operator="containsText" text="Capitale">
      <formula>NOT(ISERROR(SEARCH("Capitale",N43)))</formula>
    </cfRule>
  </conditionalFormatting>
  <conditionalFormatting sqref="N59:O59">
    <cfRule type="cellIs" dxfId="123" priority="134" operator="equal">
      <formula>"Refusé : Palais valide que dans les Capitales ou les Villes majeures !"</formula>
    </cfRule>
    <cfRule type="cellIs" dxfId="122" priority="135" operator="equal">
      <formula>"Refusé : Trop de bâtiments !"</formula>
    </cfRule>
    <cfRule type="cellIs" dxfId="121" priority="136" operator="equal">
      <formula>"Erreur de saisie !"</formula>
    </cfRule>
    <cfRule type="containsText" dxfId="120" priority="137" operator="containsText" text="Conforme aux Règles du Wargame">
      <formula>NOT(ISERROR(SEARCH("Conforme aux Règles du Wargame",N59)))</formula>
    </cfRule>
  </conditionalFormatting>
  <conditionalFormatting sqref="D71:D77">
    <cfRule type="cellIs" dxfId="119" priority="131" operator="equal">
      <formula>"Non"</formula>
    </cfRule>
    <cfRule type="cellIs" dxfId="118" priority="132" operator="equal">
      <formula>"Oui"</formula>
    </cfRule>
  </conditionalFormatting>
  <conditionalFormatting sqref="B67">
    <cfRule type="cellIs" dxfId="117" priority="129" operator="equal">
      <formula>"Oui"</formula>
    </cfRule>
    <cfRule type="cellIs" dxfId="116" priority="130" operator="equal">
      <formula>"Non"</formula>
    </cfRule>
  </conditionalFormatting>
  <conditionalFormatting sqref="B80:C80">
    <cfRule type="cellIs" dxfId="115" priority="125" operator="equal">
      <formula>"Refusé : Palais valide que dans les Capitales ou les Villes majeures !"</formula>
    </cfRule>
    <cfRule type="cellIs" dxfId="114" priority="126" operator="equal">
      <formula>"Refusé : Trop de bâtiments !"</formula>
    </cfRule>
    <cfRule type="cellIs" dxfId="113" priority="127" operator="equal">
      <formula>"Erreur de saisie !"</formula>
    </cfRule>
    <cfRule type="containsText" dxfId="112" priority="128" operator="containsText" text="Conforme aux Règles du Wargame">
      <formula>NOT(ISERROR(SEARCH("Conforme aux Règles du Wargame",B80)))</formula>
    </cfRule>
  </conditionalFormatting>
  <conditionalFormatting sqref="B64">
    <cfRule type="containsText" dxfId="111" priority="119" operator="containsText" text="Ville non définie !">
      <formula>NOT(ISERROR(SEARCH("Ville non définie !",B64)))</formula>
    </cfRule>
    <cfRule type="containsText" dxfId="110" priority="121" operator="containsText" text="Erreur de saisie !">
      <formula>NOT(ISERROR(SEARCH("Erreur de saisie !",B64)))</formula>
    </cfRule>
    <cfRule type="containsText" dxfId="109" priority="122" operator="containsText" text="Bourg">
      <formula>NOT(ISERROR(SEARCH("Bourg",B64)))</formula>
    </cfRule>
    <cfRule type="containsText" dxfId="108" priority="123" operator="containsText" text="Ville mineure">
      <formula>NOT(ISERROR(SEARCH("Ville mineure",B64)))</formula>
    </cfRule>
    <cfRule type="containsText" dxfId="107" priority="124" operator="containsText" text="Capitale">
      <formula>NOT(ISERROR(SEARCH("Capitale",B64)))</formula>
    </cfRule>
  </conditionalFormatting>
  <conditionalFormatting sqref="I70:J74">
    <cfRule type="containsText" dxfId="106" priority="120" operator="containsText" text="Siège ?">
      <formula>NOT(ISERROR(SEARCH("Siège ?",I70)))</formula>
    </cfRule>
  </conditionalFormatting>
  <conditionalFormatting sqref="U49:V53">
    <cfRule type="containsText" dxfId="105" priority="118" operator="containsText" text="Siège ?">
      <formula>NOT(ISERROR(SEARCH("Siège ?",U49)))</formula>
    </cfRule>
  </conditionalFormatting>
  <conditionalFormatting sqref="N67">
    <cfRule type="cellIs" dxfId="104" priority="114" operator="equal">
      <formula>"Oui"</formula>
    </cfRule>
    <cfRule type="cellIs" dxfId="103" priority="115" operator="equal">
      <formula>"Non"</formula>
    </cfRule>
  </conditionalFormatting>
  <conditionalFormatting sqref="N64">
    <cfRule type="containsText" dxfId="102" priority="105" operator="containsText" text="Ville non définie !">
      <formula>NOT(ISERROR(SEARCH("Ville non définie !",N64)))</formula>
    </cfRule>
    <cfRule type="containsText" dxfId="101" priority="110" operator="containsText" text="Erreur de saisie !">
      <formula>NOT(ISERROR(SEARCH("Erreur de saisie !",N64)))</formula>
    </cfRule>
    <cfRule type="containsText" dxfId="100" priority="111" operator="containsText" text="Bourg">
      <formula>NOT(ISERROR(SEARCH("Bourg",N64)))</formula>
    </cfRule>
    <cfRule type="containsText" dxfId="99" priority="112" operator="containsText" text="Ville mineure">
      <formula>NOT(ISERROR(SEARCH("Ville mineure",N64)))</formula>
    </cfRule>
    <cfRule type="containsText" dxfId="98" priority="113" operator="containsText" text="Capitale">
      <formula>NOT(ISERROR(SEARCH("Capitale",N64)))</formula>
    </cfRule>
  </conditionalFormatting>
  <conditionalFormatting sqref="N80:O80">
    <cfRule type="cellIs" dxfId="97" priority="106" operator="equal">
      <formula>"Refusé : Palais valide que dans les Capitales ou les Villes majeures !"</formula>
    </cfRule>
    <cfRule type="cellIs" dxfId="96" priority="107" operator="equal">
      <formula>"Refusé : Trop de bâtiments !"</formula>
    </cfRule>
    <cfRule type="cellIs" dxfId="95" priority="108" operator="equal">
      <formula>"Erreur de saisie !"</formula>
    </cfRule>
    <cfRule type="containsText" dxfId="94" priority="109" operator="containsText" text="Conforme aux Règles du Wargame">
      <formula>NOT(ISERROR(SEARCH("Conforme aux Règles du Wargame",N80)))</formula>
    </cfRule>
  </conditionalFormatting>
  <conditionalFormatting sqref="U70:V74">
    <cfRule type="containsText" dxfId="93" priority="104" operator="containsText" text="Siège ?">
      <formula>NOT(ISERROR(SEARCH("Siège ?",U70)))</formula>
    </cfRule>
  </conditionalFormatting>
  <conditionalFormatting sqref="B88">
    <cfRule type="cellIs" dxfId="92" priority="100" operator="equal">
      <formula>"Oui"</formula>
    </cfRule>
    <cfRule type="cellIs" dxfId="91" priority="101" operator="equal">
      <formula>"Non"</formula>
    </cfRule>
  </conditionalFormatting>
  <conditionalFormatting sqref="B101:C102 N102:O102">
    <cfRule type="cellIs" dxfId="90" priority="96" operator="equal">
      <formula>"Refusé : Palais valide que dans les Capitales ou les Villes majeures !"</formula>
    </cfRule>
    <cfRule type="cellIs" dxfId="89" priority="97" operator="equal">
      <formula>"Refusé : Trop de bâtiments !"</formula>
    </cfRule>
    <cfRule type="cellIs" dxfId="88" priority="98" operator="equal">
      <formula>"Erreur de saisie !"</formula>
    </cfRule>
    <cfRule type="containsText" dxfId="87" priority="99" operator="containsText" text="Conforme aux Règles du Wargame">
      <formula>NOT(ISERROR(SEARCH("Conforme aux Règles du Wargame",B101)))</formula>
    </cfRule>
  </conditionalFormatting>
  <conditionalFormatting sqref="B85">
    <cfRule type="containsText" dxfId="86" priority="74" operator="containsText" text="Ville non définie !">
      <formula>NOT(ISERROR(SEARCH("Ville non définie !",B85)))</formula>
    </cfRule>
    <cfRule type="containsText" dxfId="85" priority="88" operator="containsText" text="Erreur de saisie !">
      <formula>NOT(ISERROR(SEARCH("Erreur de saisie !",B85)))</formula>
    </cfRule>
    <cfRule type="containsText" dxfId="84" priority="93" operator="containsText" text="Bourg">
      <formula>NOT(ISERROR(SEARCH("Bourg",B85)))</formula>
    </cfRule>
    <cfRule type="containsText" dxfId="83" priority="94" operator="containsText" text="Ville mineure">
      <formula>NOT(ISERROR(SEARCH("Ville mineure",B85)))</formula>
    </cfRule>
    <cfRule type="containsText" dxfId="82" priority="95" operator="containsText" text="Capitale">
      <formula>NOT(ISERROR(SEARCH("Capitale",B85)))</formula>
    </cfRule>
  </conditionalFormatting>
  <conditionalFormatting sqref="N103:O103">
    <cfRule type="cellIs" dxfId="81" priority="89" operator="equal">
      <formula>"Refusé : Palais valide que dans les Capitales ou Villes majeures !"</formula>
    </cfRule>
    <cfRule type="cellIs" dxfId="80" priority="90" operator="equal">
      <formula>"Refusé : Trop de bâtiments !"</formula>
    </cfRule>
    <cfRule type="cellIs" dxfId="79" priority="91" operator="equal">
      <formula>"Erreur de saisie !"</formula>
    </cfRule>
    <cfRule type="cellIs" dxfId="78" priority="92" operator="equal">
      <formula>"Conforme aux Règles"</formula>
    </cfRule>
  </conditionalFormatting>
  <conditionalFormatting sqref="N88">
    <cfRule type="cellIs" dxfId="77" priority="84" operator="equal">
      <formula>"Oui"</formula>
    </cfRule>
    <cfRule type="cellIs" dxfId="76" priority="85" operator="equal">
      <formula>"Non"</formula>
    </cfRule>
  </conditionalFormatting>
  <conditionalFormatting sqref="N85">
    <cfRule type="containsText" dxfId="75" priority="73" operator="containsText" text="Ville non définie !">
      <formula>NOT(ISERROR(SEARCH("Ville non définie !",N85)))</formula>
    </cfRule>
    <cfRule type="containsText" dxfId="74" priority="80" operator="containsText" text="Erreur de saisie !">
      <formula>NOT(ISERROR(SEARCH("Erreur de saisie !",N85)))</formula>
    </cfRule>
    <cfRule type="containsText" dxfId="73" priority="81" operator="containsText" text="Bourg">
      <formula>NOT(ISERROR(SEARCH("Bourg",N85)))</formula>
    </cfRule>
    <cfRule type="containsText" dxfId="72" priority="82" operator="containsText" text="Ville mineure">
      <formula>NOT(ISERROR(SEARCH("Ville mineure",N85)))</formula>
    </cfRule>
    <cfRule type="containsText" dxfId="71" priority="83" operator="containsText" text="Capitale">
      <formula>NOT(ISERROR(SEARCH("Capitale",N85)))</formula>
    </cfRule>
  </conditionalFormatting>
  <conditionalFormatting sqref="U91:V95 I91:J95">
    <cfRule type="containsText" dxfId="70" priority="79" operator="containsText" text="Siège ?">
      <formula>NOT(ISERROR(SEARCH("Siège ?",I91)))</formula>
    </cfRule>
  </conditionalFormatting>
  <conditionalFormatting sqref="N101:O101">
    <cfRule type="cellIs" dxfId="69" priority="75" operator="equal">
      <formula>"Refusé : Palais valide que dans les Capitales ou les Villes majeures !"</formula>
    </cfRule>
    <cfRule type="cellIs" dxfId="68" priority="76" operator="equal">
      <formula>"Refusé : Trop de bâtiments !"</formula>
    </cfRule>
    <cfRule type="cellIs" dxfId="67" priority="77" operator="equal">
      <formula>"Erreur de saisie !"</formula>
    </cfRule>
    <cfRule type="containsText" dxfId="66" priority="78" operator="containsText" text="Conforme aux Règles du Wargame">
      <formula>NOT(ISERROR(SEARCH("Conforme aux Règles du Wargame",N101)))</formula>
    </cfRule>
  </conditionalFormatting>
  <conditionalFormatting sqref="B109">
    <cfRule type="cellIs" dxfId="65" priority="69" operator="equal">
      <formula>"Oui"</formula>
    </cfRule>
    <cfRule type="cellIs" dxfId="64" priority="70" operator="equal">
      <formula>"Non"</formula>
    </cfRule>
  </conditionalFormatting>
  <conditionalFormatting sqref="B122:C122">
    <cfRule type="cellIs" dxfId="63" priority="65" operator="equal">
      <formula>"Refusé : Palais valide que dans les Capitales ou les Villes majeures !"</formula>
    </cfRule>
    <cfRule type="cellIs" dxfId="62" priority="66" operator="equal">
      <formula>"Refusé : Trop de bâtiments !"</formula>
    </cfRule>
    <cfRule type="cellIs" dxfId="61" priority="67" operator="equal">
      <formula>"Erreur de saisie !"</formula>
    </cfRule>
    <cfRule type="containsText" dxfId="60" priority="68" operator="containsText" text="Conforme aux Règles du Wargame">
      <formula>NOT(ISERROR(SEARCH("Conforme aux Règles du Wargame",B122)))</formula>
    </cfRule>
  </conditionalFormatting>
  <conditionalFormatting sqref="B106">
    <cfRule type="containsText" dxfId="59" priority="59" operator="containsText" text="Ville non définie !">
      <formula>NOT(ISERROR(SEARCH("Ville non définie !",B106)))</formula>
    </cfRule>
    <cfRule type="containsText" dxfId="58" priority="61" operator="containsText" text="Erreur de saisie !">
      <formula>NOT(ISERROR(SEARCH("Erreur de saisie !",B106)))</formula>
    </cfRule>
    <cfRule type="containsText" dxfId="57" priority="62" operator="containsText" text="Bourg">
      <formula>NOT(ISERROR(SEARCH("Bourg",B106)))</formula>
    </cfRule>
    <cfRule type="containsText" dxfId="56" priority="63" operator="containsText" text="Ville mineure">
      <formula>NOT(ISERROR(SEARCH("Ville mineure",B106)))</formula>
    </cfRule>
    <cfRule type="containsText" dxfId="55" priority="64" operator="containsText" text="Capitale">
      <formula>NOT(ISERROR(SEARCH("Capitale",B106)))</formula>
    </cfRule>
  </conditionalFormatting>
  <conditionalFormatting sqref="I112:J116">
    <cfRule type="containsText" dxfId="54" priority="60" operator="containsText" text="Siège ?">
      <formula>NOT(ISERROR(SEARCH("Siège ?",I112)))</formula>
    </cfRule>
  </conditionalFormatting>
  <conditionalFormatting sqref="N109">
    <cfRule type="cellIs" dxfId="53" priority="55" operator="equal">
      <formula>"Oui"</formula>
    </cfRule>
    <cfRule type="cellIs" dxfId="52" priority="56" operator="equal">
      <formula>"Non"</formula>
    </cfRule>
  </conditionalFormatting>
  <conditionalFormatting sqref="N106">
    <cfRule type="containsText" dxfId="51" priority="46" operator="containsText" text="Ville non définie !">
      <formula>NOT(ISERROR(SEARCH("Ville non définie !",N106)))</formula>
    </cfRule>
    <cfRule type="containsText" dxfId="50" priority="51" operator="containsText" text="Erreur de saisie !">
      <formula>NOT(ISERROR(SEARCH("Erreur de saisie !",N106)))</formula>
    </cfRule>
    <cfRule type="containsText" dxfId="49" priority="52" operator="containsText" text="Bourg">
      <formula>NOT(ISERROR(SEARCH("Bourg",N106)))</formula>
    </cfRule>
    <cfRule type="containsText" dxfId="48" priority="53" operator="containsText" text="Ville mineure">
      <formula>NOT(ISERROR(SEARCH("Ville mineure",N106)))</formula>
    </cfRule>
    <cfRule type="containsText" dxfId="47" priority="54" operator="containsText" text="Capitale">
      <formula>NOT(ISERROR(SEARCH("Capitale",N106)))</formula>
    </cfRule>
  </conditionalFormatting>
  <conditionalFormatting sqref="N122:O122">
    <cfRule type="cellIs" dxfId="46" priority="47" operator="equal">
      <formula>"Refusé : Palais valide que dans les Capitales ou les Villes majeures !"</formula>
    </cfRule>
    <cfRule type="cellIs" dxfId="45" priority="48" operator="equal">
      <formula>"Refusé : Trop de bâtiments !"</formula>
    </cfRule>
    <cfRule type="cellIs" dxfId="44" priority="49" operator="equal">
      <formula>"Erreur de saisie !"</formula>
    </cfRule>
    <cfRule type="containsText" dxfId="43" priority="50" operator="containsText" text="Conforme aux Règles du Wargame">
      <formula>NOT(ISERROR(SEARCH("Conforme aux Règles du Wargame",N122)))</formula>
    </cfRule>
  </conditionalFormatting>
  <conditionalFormatting sqref="D134:D140">
    <cfRule type="cellIs" dxfId="42" priority="44" operator="equal">
      <formula>"Non"</formula>
    </cfRule>
    <cfRule type="cellIs" dxfId="41" priority="45" operator="equal">
      <formula>"Oui"</formula>
    </cfRule>
  </conditionalFormatting>
  <conditionalFormatting sqref="B130">
    <cfRule type="cellIs" dxfId="40" priority="42" operator="equal">
      <formula>"Oui"</formula>
    </cfRule>
    <cfRule type="cellIs" dxfId="39" priority="43" operator="equal">
      <formula>"Non"</formula>
    </cfRule>
  </conditionalFormatting>
  <conditionalFormatting sqref="B143:C143">
    <cfRule type="cellIs" dxfId="38" priority="38" operator="equal">
      <formula>"Refusé : Palais valide que dans les Capitales ou les Villes majeures !"</formula>
    </cfRule>
    <cfRule type="cellIs" dxfId="37" priority="39" operator="equal">
      <formula>"Refusé : Trop de bâtiments !"</formula>
    </cfRule>
    <cfRule type="cellIs" dxfId="36" priority="40" operator="equal">
      <formula>"Erreur de saisie !"</formula>
    </cfRule>
    <cfRule type="containsText" dxfId="35" priority="41" operator="containsText" text="Conforme aux Règles du Wargame">
      <formula>NOT(ISERROR(SEARCH("Conforme aux Règles du Wargame",B143)))</formula>
    </cfRule>
  </conditionalFormatting>
  <conditionalFormatting sqref="B127">
    <cfRule type="containsText" dxfId="34" priority="32" operator="containsText" text="Ville non définie !">
      <formula>NOT(ISERROR(SEARCH("Ville non définie !",B127)))</formula>
    </cfRule>
    <cfRule type="containsText" dxfId="33" priority="34" operator="containsText" text="Erreur de saisie !">
      <formula>NOT(ISERROR(SEARCH("Erreur de saisie !",B127)))</formula>
    </cfRule>
    <cfRule type="containsText" dxfId="32" priority="35" operator="containsText" text="Bourg">
      <formula>NOT(ISERROR(SEARCH("Bourg",B127)))</formula>
    </cfRule>
    <cfRule type="containsText" dxfId="31" priority="36" operator="containsText" text="Ville mineure">
      <formula>NOT(ISERROR(SEARCH("Ville mineure",B127)))</formula>
    </cfRule>
    <cfRule type="containsText" dxfId="30" priority="37" operator="containsText" text="Capitale">
      <formula>NOT(ISERROR(SEARCH("Capitale",B127)))</formula>
    </cfRule>
  </conditionalFormatting>
  <conditionalFormatting sqref="I133:J137">
    <cfRule type="containsText" dxfId="29" priority="33" operator="containsText" text="Siège ?">
      <formula>NOT(ISERROR(SEARCH("Siège ?",I133)))</formula>
    </cfRule>
  </conditionalFormatting>
  <conditionalFormatting sqref="U112:V116">
    <cfRule type="containsText" dxfId="28" priority="31" operator="containsText" text="Siège ?">
      <formula>NOT(ISERROR(SEARCH("Siège ?",U112)))</formula>
    </cfRule>
  </conditionalFormatting>
  <conditionalFormatting sqref="P134:P140">
    <cfRule type="cellIs" dxfId="27" priority="15" operator="equal">
      <formula>"Non"</formula>
    </cfRule>
    <cfRule type="cellIs" dxfId="26" priority="16" operator="equal">
      <formula>"Oui"</formula>
    </cfRule>
  </conditionalFormatting>
  <conditionalFormatting sqref="N130">
    <cfRule type="cellIs" dxfId="25" priority="27" operator="equal">
      <formula>"Oui"</formula>
    </cfRule>
    <cfRule type="cellIs" dxfId="24" priority="28" operator="equal">
      <formula>"Non"</formula>
    </cfRule>
  </conditionalFormatting>
  <conditionalFormatting sqref="N127">
    <cfRule type="containsText" dxfId="23" priority="18" operator="containsText" text="Ville non définie !">
      <formula>NOT(ISERROR(SEARCH("Ville non définie !",N127)))</formula>
    </cfRule>
    <cfRule type="containsText" dxfId="22" priority="23" operator="containsText" text="Erreur de saisie !">
      <formula>NOT(ISERROR(SEARCH("Erreur de saisie !",N127)))</formula>
    </cfRule>
    <cfRule type="containsText" dxfId="21" priority="24" operator="containsText" text="Bourg">
      <formula>NOT(ISERROR(SEARCH("Bourg",N127)))</formula>
    </cfRule>
    <cfRule type="containsText" dxfId="20" priority="25" operator="containsText" text="Ville mineure">
      <formula>NOT(ISERROR(SEARCH("Ville mineure",N127)))</formula>
    </cfRule>
    <cfRule type="containsText" dxfId="19" priority="26" operator="containsText" text="Capitale">
      <formula>NOT(ISERROR(SEARCH("Capitale",N127)))</formula>
    </cfRule>
  </conditionalFormatting>
  <conditionalFormatting sqref="N143:O143">
    <cfRule type="cellIs" dxfId="18" priority="19" operator="equal">
      <formula>"Refusé : Palais valide que dans les Capitales ou les Villes majeures !"</formula>
    </cfRule>
    <cfRule type="cellIs" dxfId="17" priority="20" operator="equal">
      <formula>"Refusé : Trop de bâtiments !"</formula>
    </cfRule>
    <cfRule type="cellIs" dxfId="16" priority="21" operator="equal">
      <formula>"Erreur de saisie !"</formula>
    </cfRule>
    <cfRule type="containsText" dxfId="15" priority="22" operator="containsText" text="Conforme aux Règles du Wargame">
      <formula>NOT(ISERROR(SEARCH("Conforme aux Règles du Wargame",N143)))</formula>
    </cfRule>
  </conditionalFormatting>
  <conditionalFormatting sqref="U133:V137">
    <cfRule type="containsText" dxfId="14" priority="17" operator="containsText" text="Siège ?">
      <formula>NOT(ISERROR(SEARCH("Siège ?",U133)))</formula>
    </cfRule>
  </conditionalFormatting>
  <conditionalFormatting sqref="P113:P119">
    <cfRule type="cellIs" dxfId="13" priority="13" operator="equal">
      <formula>"Non"</formula>
    </cfRule>
    <cfRule type="cellIs" dxfId="12" priority="14" operator="equal">
      <formula>"Oui"</formula>
    </cfRule>
  </conditionalFormatting>
  <conditionalFormatting sqref="D113:D119">
    <cfRule type="cellIs" dxfId="11" priority="11" operator="equal">
      <formula>"Non"</formula>
    </cfRule>
    <cfRule type="cellIs" dxfId="10" priority="12" operator="equal">
      <formula>"Oui"</formula>
    </cfRule>
  </conditionalFormatting>
  <conditionalFormatting sqref="D92:D98">
    <cfRule type="cellIs" dxfId="9" priority="9" operator="equal">
      <formula>"Non"</formula>
    </cfRule>
    <cfRule type="cellIs" dxfId="8" priority="10" operator="equal">
      <formula>"Oui"</formula>
    </cfRule>
  </conditionalFormatting>
  <conditionalFormatting sqref="P92:P98">
    <cfRule type="cellIs" dxfId="7" priority="7" operator="equal">
      <formula>"Non"</formula>
    </cfRule>
    <cfRule type="cellIs" dxfId="6" priority="8" operator="equal">
      <formula>"Oui"</formula>
    </cfRule>
  </conditionalFormatting>
  <conditionalFormatting sqref="P71:P77">
    <cfRule type="cellIs" dxfId="5" priority="5" operator="equal">
      <formula>"Non"</formula>
    </cfRule>
    <cfRule type="cellIs" dxfId="4" priority="6" operator="equal">
      <formula>"Oui"</formula>
    </cfRule>
  </conditionalFormatting>
  <conditionalFormatting sqref="K18:N18">
    <cfRule type="containsText" dxfId="3" priority="4" operator="containsText" text="Conforme aux Règles du Wargame">
      <formula>NOT(ISERROR(SEARCH("Conforme aux Règles du Wargame",K18)))</formula>
    </cfRule>
  </conditionalFormatting>
  <conditionalFormatting sqref="C12:D12">
    <cfRule type="containsText" dxfId="2" priority="3" operator="containsText" text="0 (Erreur)">
      <formula>NOT(ISERROR(SEARCH("0 (Erreur)",C12)))</formula>
    </cfRule>
  </conditionalFormatting>
  <conditionalFormatting sqref="O16">
    <cfRule type="containsText" dxfId="1" priority="2" operator="containsText" text="Err">
      <formula>NOT(ISERROR(SEARCH("Err",O16)))</formula>
    </cfRule>
  </conditionalFormatting>
  <conditionalFormatting sqref="S16">
    <cfRule type="containsText" dxfId="0" priority="1" operator="containsText" text="Élite ???">
      <formula>NOT(ISERROR(SEARCH("Élite ???",S16)))</formula>
    </cfRule>
  </conditionalFormatting>
  <dataValidations count="5">
    <dataValidation type="list" allowBlank="1" showInputMessage="1" showErrorMessage="1" sqref="D29:D35 B25 P29:P35 N25 D50:D56 B46 P50:P56 N46 D71:D77 B67 P92:P98 N67 D113:D119 B88 D92:D98 N88 P113:P119 B109 P134:P140 N109 D134:D140 B130 N130 P71:P77">
      <formula1>"Oui,Non"</formula1>
    </dataValidation>
    <dataValidation type="list" allowBlank="1" showInputMessage="1" showErrorMessage="1" sqref="B21 N21 B42 N42 B63 N63 B84 N84 B105 N105 B126 N126">
      <formula1>$Y$3:$Y$148</formula1>
    </dataValidation>
    <dataValidation type="list" allowBlank="1" showInputMessage="1" showErrorMessage="1" sqref="C16">
      <formula1>"Infanterie,Cavalerie,Siège"</formula1>
    </dataValidation>
    <dataValidation type="list" allowBlank="1" showInputMessage="1" showErrorMessage="1" sqref="H21 T21 H42 T42 H63 T63 H84 T84 H105 T105 H126 T126">
      <formula1>PV</formula1>
    </dataValidation>
    <dataValidation type="whole" operator="greaterThan" allowBlank="1" showInputMessage="1" showErrorMessage="1" sqref="R17:S18">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Ressources</vt:lpstr>
      <vt:lpstr>PV</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2013-08-10T02:28:13Z</dcterms:modified>
</cp:coreProperties>
</file>