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28515" windowHeight="12480"/>
  </bookViews>
  <sheets>
    <sheet name="Ressources V11" sheetId="1" r:id="rId1"/>
  </sheets>
  <definedNames>
    <definedName name="Année">'Ressources V11'!$C$123:$C$147</definedName>
    <definedName name="Malus">'Ressources V11'!$B$123:$B$143</definedName>
    <definedName name="Pénalité">#REF!,#REF!,#REF!,#REF!,#REF!,#REF!,#REF!,#REF!,#REF!,#REF!,#REF!,#REF!</definedName>
    <definedName name="Possession">#REF!,#REF!,#REF!,#REF!,#REF!,#REF!,#REF!,#REF!,#REF!,#REF!,#REF!</definedName>
    <definedName name="Provinces">'Ressources V11'!$A$121:$A$132</definedName>
  </definedNames>
  <calcPr calcId="145621"/>
  <fileRecoveryPr repairLoad="1"/>
</workbook>
</file>

<file path=xl/calcChain.xml><?xml version="1.0" encoding="utf-8"?>
<calcChain xmlns="http://schemas.openxmlformats.org/spreadsheetml/2006/main">
  <c r="J18" i="1" l="1"/>
  <c r="J19" i="1" s="1"/>
  <c r="R27" i="1"/>
  <c r="L12" i="1"/>
  <c r="M19" i="1"/>
  <c r="J20" i="1" l="1"/>
  <c r="V27" i="1"/>
  <c r="I119" i="1"/>
  <c r="G119" i="1"/>
  <c r="E119" i="1"/>
  <c r="C119" i="1"/>
  <c r="U27" i="1" l="1"/>
  <c r="B27" i="1"/>
  <c r="F27" i="1"/>
  <c r="H27" i="1"/>
  <c r="R111" i="1"/>
  <c r="R110" i="1"/>
  <c r="R109" i="1"/>
  <c r="R108" i="1"/>
  <c r="R106" i="1"/>
  <c r="R105" i="1"/>
  <c r="R104" i="1"/>
  <c r="R103" i="1"/>
  <c r="R102" i="1"/>
  <c r="R101" i="1"/>
  <c r="R100" i="1"/>
  <c r="R99" i="1"/>
  <c r="R97" i="1"/>
  <c r="R96" i="1"/>
  <c r="R95" i="1"/>
  <c r="R94" i="1"/>
  <c r="R93" i="1"/>
  <c r="R92" i="1"/>
  <c r="R91" i="1"/>
  <c r="R90" i="1"/>
  <c r="R88" i="1"/>
  <c r="R87" i="1"/>
  <c r="R86" i="1"/>
  <c r="R85" i="1"/>
  <c r="R84" i="1"/>
  <c r="R83" i="1"/>
  <c r="R82" i="1"/>
  <c r="R81" i="1"/>
  <c r="R79" i="1"/>
  <c r="R78" i="1"/>
  <c r="R77" i="1"/>
  <c r="R76" i="1"/>
  <c r="R75" i="1"/>
  <c r="R74" i="1"/>
  <c r="R73" i="1"/>
  <c r="R72" i="1"/>
  <c r="R70" i="1"/>
  <c r="R69" i="1"/>
  <c r="R68" i="1"/>
  <c r="R67" i="1"/>
  <c r="R66" i="1"/>
  <c r="R65" i="1"/>
  <c r="R64" i="1"/>
  <c r="R63" i="1"/>
  <c r="R61" i="1"/>
  <c r="R60" i="1"/>
  <c r="R59" i="1"/>
  <c r="R58" i="1"/>
  <c r="R57" i="1"/>
  <c r="R56" i="1"/>
  <c r="R55" i="1"/>
  <c r="R51" i="1"/>
  <c r="R52" i="1"/>
  <c r="R53" i="1"/>
  <c r="R50" i="1"/>
  <c r="R49" i="1"/>
  <c r="R48" i="1"/>
  <c r="R47" i="1"/>
  <c r="R46" i="1"/>
  <c r="R45" i="1"/>
  <c r="R36" i="1"/>
  <c r="R43" i="1"/>
  <c r="R42" i="1"/>
  <c r="R41" i="1"/>
  <c r="R40" i="1"/>
  <c r="R39" i="1"/>
  <c r="R38" i="1"/>
  <c r="R37" i="1"/>
  <c r="R28" i="1"/>
  <c r="R29" i="1"/>
  <c r="R30" i="1"/>
  <c r="R31" i="1"/>
  <c r="R32" i="1"/>
  <c r="R33" i="1"/>
  <c r="R34" i="1"/>
  <c r="P35" i="1"/>
  <c r="Q35" i="1"/>
  <c r="P112" i="1"/>
  <c r="P107" i="1"/>
  <c r="P98" i="1"/>
  <c r="P89" i="1"/>
  <c r="P80" i="1"/>
  <c r="P71" i="1"/>
  <c r="P62" i="1"/>
  <c r="P54" i="1"/>
  <c r="P44" i="1"/>
  <c r="K44" i="1"/>
  <c r="L44" i="1"/>
  <c r="H126" i="1"/>
  <c r="H124" i="1"/>
  <c r="H123" i="1"/>
  <c r="V118" i="1"/>
  <c r="U118" i="1" s="1"/>
  <c r="V116" i="1"/>
  <c r="U116" i="1" s="1"/>
  <c r="V117" i="1"/>
  <c r="U117" i="1" s="1"/>
  <c r="V115" i="1"/>
  <c r="U115" i="1" s="1"/>
  <c r="V114" i="1"/>
  <c r="U114" i="1" s="1"/>
  <c r="V113" i="1"/>
  <c r="U113" i="1" s="1"/>
  <c r="V111" i="1"/>
  <c r="U111" i="1" s="1"/>
  <c r="V110" i="1"/>
  <c r="U110" i="1" s="1"/>
  <c r="V109" i="1"/>
  <c r="U109" i="1" s="1"/>
  <c r="V108" i="1"/>
  <c r="U108" i="1" s="1"/>
  <c r="V106" i="1"/>
  <c r="U106" i="1" s="1"/>
  <c r="V105" i="1"/>
  <c r="U105" i="1" s="1"/>
  <c r="V104" i="1"/>
  <c r="U104" i="1" s="1"/>
  <c r="V103" i="1"/>
  <c r="U103" i="1" s="1"/>
  <c r="V102" i="1"/>
  <c r="U102" i="1" s="1"/>
  <c r="V101" i="1"/>
  <c r="U101" i="1" s="1"/>
  <c r="V100" i="1"/>
  <c r="U100" i="1" s="1"/>
  <c r="V99" i="1"/>
  <c r="U99" i="1" s="1"/>
  <c r="V97" i="1"/>
  <c r="U97" i="1" s="1"/>
  <c r="V96" i="1"/>
  <c r="U96" i="1" s="1"/>
  <c r="V95" i="1"/>
  <c r="U95" i="1" s="1"/>
  <c r="V94" i="1"/>
  <c r="U94" i="1" s="1"/>
  <c r="V93" i="1"/>
  <c r="U93" i="1" s="1"/>
  <c r="V92" i="1"/>
  <c r="U92" i="1" s="1"/>
  <c r="V91" i="1"/>
  <c r="U91" i="1" s="1"/>
  <c r="V90" i="1"/>
  <c r="U90" i="1" s="1"/>
  <c r="V88" i="1"/>
  <c r="U88" i="1" s="1"/>
  <c r="V87" i="1"/>
  <c r="U87" i="1" s="1"/>
  <c r="V86" i="1"/>
  <c r="U86" i="1" s="1"/>
  <c r="V85" i="1"/>
  <c r="U85" i="1" s="1"/>
  <c r="V84" i="1"/>
  <c r="U84" i="1" s="1"/>
  <c r="V83" i="1"/>
  <c r="U83" i="1" s="1"/>
  <c r="V82" i="1"/>
  <c r="U82" i="1" s="1"/>
  <c r="V81" i="1"/>
  <c r="U81" i="1" s="1"/>
  <c r="V79" i="1"/>
  <c r="U79" i="1" s="1"/>
  <c r="V78" i="1"/>
  <c r="U78" i="1" s="1"/>
  <c r="V77" i="1"/>
  <c r="U77" i="1" s="1"/>
  <c r="V76" i="1"/>
  <c r="U76" i="1" s="1"/>
  <c r="V75" i="1"/>
  <c r="U75" i="1" s="1"/>
  <c r="V74" i="1"/>
  <c r="U74" i="1" s="1"/>
  <c r="V73" i="1"/>
  <c r="U73" i="1" s="1"/>
  <c r="V72" i="1"/>
  <c r="U72" i="1" s="1"/>
  <c r="V70" i="1"/>
  <c r="U70" i="1" s="1"/>
  <c r="V69" i="1"/>
  <c r="U69" i="1" s="1"/>
  <c r="V68" i="1"/>
  <c r="U68" i="1" s="1"/>
  <c r="V67" i="1"/>
  <c r="U67" i="1" s="1"/>
  <c r="V66" i="1"/>
  <c r="U66" i="1" s="1"/>
  <c r="V65" i="1"/>
  <c r="U65" i="1" s="1"/>
  <c r="V64" i="1"/>
  <c r="U64" i="1" s="1"/>
  <c r="V63" i="1"/>
  <c r="U63" i="1" s="1"/>
  <c r="V61" i="1"/>
  <c r="V60" i="1"/>
  <c r="U60" i="1" s="1"/>
  <c r="V59" i="1"/>
  <c r="U59" i="1" s="1"/>
  <c r="V58" i="1"/>
  <c r="U58" i="1" s="1"/>
  <c r="V57" i="1"/>
  <c r="U57" i="1" s="1"/>
  <c r="V56" i="1"/>
  <c r="U56" i="1" s="1"/>
  <c r="V55" i="1"/>
  <c r="U55" i="1" s="1"/>
  <c r="V46" i="1"/>
  <c r="U46" i="1" s="1"/>
  <c r="V45" i="1"/>
  <c r="U45" i="1" s="1"/>
  <c r="V53" i="1"/>
  <c r="U53" i="1" s="1"/>
  <c r="V52" i="1"/>
  <c r="U52" i="1" s="1"/>
  <c r="V51" i="1"/>
  <c r="U51" i="1" s="1"/>
  <c r="V50" i="1"/>
  <c r="U50" i="1" s="1"/>
  <c r="V49" i="1"/>
  <c r="U49" i="1" s="1"/>
  <c r="V48" i="1"/>
  <c r="U48" i="1" s="1"/>
  <c r="V47" i="1"/>
  <c r="U47" i="1" s="1"/>
  <c r="V43" i="1"/>
  <c r="U43" i="1" s="1"/>
  <c r="V42" i="1"/>
  <c r="U42" i="1" s="1"/>
  <c r="V41" i="1"/>
  <c r="U41" i="1" s="1"/>
  <c r="V40" i="1"/>
  <c r="U40" i="1" s="1"/>
  <c r="V39" i="1"/>
  <c r="U39" i="1" s="1"/>
  <c r="V38" i="1"/>
  <c r="U38" i="1" s="1"/>
  <c r="V37" i="1"/>
  <c r="U37" i="1" s="1"/>
  <c r="V36" i="1"/>
  <c r="U36" i="1" s="1"/>
  <c r="Q112" i="1"/>
  <c r="O112" i="1"/>
  <c r="N112" i="1"/>
  <c r="M112" i="1"/>
  <c r="L112" i="1"/>
  <c r="K112" i="1"/>
  <c r="J112" i="1"/>
  <c r="H112" i="1"/>
  <c r="F112" i="1"/>
  <c r="D112" i="1"/>
  <c r="B112" i="1"/>
  <c r="Q107" i="1"/>
  <c r="O107" i="1"/>
  <c r="N107" i="1"/>
  <c r="M107" i="1"/>
  <c r="L107" i="1"/>
  <c r="K107" i="1"/>
  <c r="J107" i="1"/>
  <c r="H107" i="1"/>
  <c r="F107" i="1"/>
  <c r="D107" i="1"/>
  <c r="B107" i="1"/>
  <c r="Q98" i="1"/>
  <c r="O98" i="1"/>
  <c r="N98" i="1"/>
  <c r="M98" i="1"/>
  <c r="L98" i="1"/>
  <c r="K98" i="1"/>
  <c r="J98" i="1"/>
  <c r="H98" i="1"/>
  <c r="F98" i="1"/>
  <c r="D98" i="1"/>
  <c r="B98" i="1"/>
  <c r="Q89" i="1"/>
  <c r="O89" i="1"/>
  <c r="N89" i="1"/>
  <c r="M89" i="1"/>
  <c r="L89" i="1"/>
  <c r="K89" i="1"/>
  <c r="J89" i="1"/>
  <c r="H89" i="1"/>
  <c r="F89" i="1"/>
  <c r="D89" i="1"/>
  <c r="B89" i="1"/>
  <c r="Q80" i="1"/>
  <c r="O80" i="1"/>
  <c r="N80" i="1"/>
  <c r="M80" i="1"/>
  <c r="L80" i="1"/>
  <c r="K80" i="1"/>
  <c r="J80" i="1"/>
  <c r="H80" i="1"/>
  <c r="F80" i="1"/>
  <c r="D80" i="1"/>
  <c r="B80" i="1"/>
  <c r="Q71" i="1"/>
  <c r="O71" i="1"/>
  <c r="N71" i="1"/>
  <c r="M71" i="1"/>
  <c r="L71" i="1"/>
  <c r="K71" i="1"/>
  <c r="J71" i="1"/>
  <c r="H71" i="1"/>
  <c r="F71" i="1"/>
  <c r="D71" i="1"/>
  <c r="B71" i="1"/>
  <c r="Q62" i="1"/>
  <c r="O62" i="1"/>
  <c r="N62" i="1"/>
  <c r="M62" i="1"/>
  <c r="L62" i="1"/>
  <c r="K62" i="1"/>
  <c r="J62" i="1"/>
  <c r="H62" i="1"/>
  <c r="F62" i="1"/>
  <c r="D62" i="1"/>
  <c r="B62" i="1"/>
  <c r="Q54" i="1"/>
  <c r="O54" i="1"/>
  <c r="N54" i="1"/>
  <c r="M54" i="1"/>
  <c r="L54" i="1"/>
  <c r="K54" i="1"/>
  <c r="J54" i="1"/>
  <c r="H54" i="1"/>
  <c r="F54" i="1"/>
  <c r="D54" i="1"/>
  <c r="B54" i="1"/>
  <c r="Q44" i="1"/>
  <c r="O44" i="1"/>
  <c r="N44" i="1"/>
  <c r="M44" i="1"/>
  <c r="J44" i="1"/>
  <c r="H44" i="1"/>
  <c r="F44" i="1"/>
  <c r="D44" i="1"/>
  <c r="B44" i="1"/>
  <c r="K35" i="1"/>
  <c r="L35" i="1"/>
  <c r="M35" i="1"/>
  <c r="N35" i="1"/>
  <c r="O35" i="1"/>
  <c r="J35" i="1"/>
  <c r="F35" i="1"/>
  <c r="H35" i="1"/>
  <c r="D35" i="1"/>
  <c r="B35" i="1"/>
  <c r="V34" i="1"/>
  <c r="U34" i="1" s="1"/>
  <c r="V33" i="1"/>
  <c r="U33" i="1" s="1"/>
  <c r="V32" i="1"/>
  <c r="U32" i="1" s="1"/>
  <c r="V31" i="1"/>
  <c r="U31" i="1" s="1"/>
  <c r="V30" i="1"/>
  <c r="U30" i="1" s="1"/>
  <c r="V29" i="1"/>
  <c r="U29" i="1" s="1"/>
  <c r="V28" i="1"/>
  <c r="U28" i="1" s="1"/>
  <c r="H61" i="1" l="1"/>
  <c r="U61" i="1"/>
  <c r="U119" i="1" s="1"/>
  <c r="J16" i="1" s="1"/>
  <c r="J21" i="1" s="1"/>
  <c r="J22" i="1" s="1"/>
  <c r="H125" i="1"/>
  <c r="B30" i="1"/>
  <c r="D30" i="1"/>
  <c r="H30" i="1"/>
  <c r="H42" i="1"/>
  <c r="D42" i="1"/>
  <c r="F42" i="1"/>
  <c r="D64" i="1"/>
  <c r="B64" i="1"/>
  <c r="H64" i="1"/>
  <c r="H72" i="1"/>
  <c r="B72" i="1"/>
  <c r="F72" i="1"/>
  <c r="F91" i="1"/>
  <c r="D91" i="1"/>
  <c r="H91" i="1"/>
  <c r="B104" i="1"/>
  <c r="H104" i="1"/>
  <c r="D104" i="1"/>
  <c r="D113" i="1"/>
  <c r="D32" i="1"/>
  <c r="H32" i="1"/>
  <c r="F32" i="1"/>
  <c r="F37" i="1"/>
  <c r="B37" i="1"/>
  <c r="D37" i="1"/>
  <c r="H43" i="1"/>
  <c r="F43" i="1"/>
  <c r="D43" i="1"/>
  <c r="H53" i="1"/>
  <c r="B53" i="1"/>
  <c r="D53" i="1"/>
  <c r="D58" i="1"/>
  <c r="H58" i="1"/>
  <c r="F58" i="1"/>
  <c r="F66" i="1"/>
  <c r="B66" i="1"/>
  <c r="H66" i="1"/>
  <c r="F79" i="1"/>
  <c r="D79" i="1"/>
  <c r="B79" i="1"/>
  <c r="B86" i="1"/>
  <c r="H86" i="1"/>
  <c r="D86" i="1"/>
  <c r="D93" i="1"/>
  <c r="F93" i="1"/>
  <c r="B93" i="1"/>
  <c r="D100" i="1"/>
  <c r="B100" i="1"/>
  <c r="H100" i="1"/>
  <c r="H106" i="1"/>
  <c r="D106" i="1"/>
  <c r="B106" i="1"/>
  <c r="H115" i="1"/>
  <c r="H28" i="1"/>
  <c r="B28" i="1"/>
  <c r="F28" i="1"/>
  <c r="D40" i="1"/>
  <c r="B40" i="1"/>
  <c r="F40" i="1"/>
  <c r="B69" i="1"/>
  <c r="D69" i="1"/>
  <c r="H69" i="1"/>
  <c r="H29" i="1"/>
  <c r="B29" i="1"/>
  <c r="D29" i="1"/>
  <c r="B41" i="1"/>
  <c r="D41" i="1"/>
  <c r="F41" i="1"/>
  <c r="D33" i="1"/>
  <c r="H33" i="1"/>
  <c r="B33" i="1"/>
  <c r="F38" i="1"/>
  <c r="B38" i="1"/>
  <c r="D38" i="1"/>
  <c r="F47" i="1"/>
  <c r="B47" i="1"/>
  <c r="D47" i="1"/>
  <c r="H45" i="1"/>
  <c r="D45" i="1"/>
  <c r="B45" i="1"/>
  <c r="H59" i="1"/>
  <c r="D59" i="1"/>
  <c r="F59" i="1"/>
  <c r="D67" i="1"/>
  <c r="H67" i="1"/>
  <c r="B67" i="1"/>
  <c r="F74" i="1"/>
  <c r="H74" i="1"/>
  <c r="B74" i="1"/>
  <c r="H81" i="1"/>
  <c r="D81" i="1"/>
  <c r="B81" i="1"/>
  <c r="F94" i="1"/>
  <c r="B94" i="1"/>
  <c r="H94" i="1"/>
  <c r="F117" i="1"/>
  <c r="B34" i="1"/>
  <c r="H34" i="1"/>
  <c r="D34" i="1"/>
  <c r="D48" i="1"/>
  <c r="B48" i="1"/>
  <c r="H48" i="1"/>
  <c r="F46" i="1"/>
  <c r="D46" i="1"/>
  <c r="B46" i="1"/>
  <c r="B60" i="1"/>
  <c r="F60" i="1"/>
  <c r="D60" i="1"/>
  <c r="B68" i="1"/>
  <c r="H68" i="1"/>
  <c r="D68" i="1"/>
  <c r="F68" i="1"/>
  <c r="D75" i="1"/>
  <c r="B75" i="1"/>
  <c r="F75" i="1"/>
  <c r="B87" i="1"/>
  <c r="D87" i="1"/>
  <c r="H87" i="1"/>
  <c r="H101" i="1"/>
  <c r="D101" i="1"/>
  <c r="B101" i="1"/>
  <c r="H108" i="1"/>
  <c r="F108" i="1"/>
  <c r="D108" i="1"/>
  <c r="H116" i="1"/>
  <c r="D39" i="1"/>
  <c r="F39" i="1"/>
  <c r="B39" i="1"/>
  <c r="D49" i="1"/>
  <c r="B49" i="1"/>
  <c r="H49" i="1"/>
  <c r="D55" i="1"/>
  <c r="H55" i="1"/>
  <c r="B55" i="1"/>
  <c r="B61" i="1"/>
  <c r="D61" i="1"/>
  <c r="D76" i="1"/>
  <c r="B76" i="1"/>
  <c r="F76" i="1"/>
  <c r="D82" i="1"/>
  <c r="H82" i="1"/>
  <c r="B82" i="1"/>
  <c r="H88" i="1"/>
  <c r="B88" i="1"/>
  <c r="D88" i="1"/>
  <c r="B95" i="1"/>
  <c r="H95" i="1"/>
  <c r="F95" i="1"/>
  <c r="F102" i="1"/>
  <c r="H102" i="1"/>
  <c r="B102" i="1"/>
  <c r="F109" i="1"/>
  <c r="D109" i="1"/>
  <c r="H109" i="1"/>
  <c r="F118" i="1"/>
  <c r="B50" i="1"/>
  <c r="H50" i="1"/>
  <c r="F50" i="1"/>
  <c r="F83" i="1"/>
  <c r="D83" i="1"/>
  <c r="H83" i="1"/>
  <c r="H90" i="1"/>
  <c r="B90" i="1"/>
  <c r="F90" i="1"/>
  <c r="B96" i="1"/>
  <c r="H96" i="1"/>
  <c r="F96" i="1"/>
  <c r="F110" i="1"/>
  <c r="B110" i="1"/>
  <c r="D110" i="1"/>
  <c r="B51" i="1"/>
  <c r="D51" i="1"/>
  <c r="H51" i="1"/>
  <c r="F56" i="1"/>
  <c r="D56" i="1"/>
  <c r="H56" i="1"/>
  <c r="H63" i="1"/>
  <c r="B63" i="1"/>
  <c r="D63" i="1"/>
  <c r="H70" i="1"/>
  <c r="D70" i="1"/>
  <c r="B70" i="1"/>
  <c r="H77" i="1"/>
  <c r="F77" i="1"/>
  <c r="D77" i="1"/>
  <c r="D84" i="1"/>
  <c r="B84" i="1"/>
  <c r="F84" i="1"/>
  <c r="H97" i="1"/>
  <c r="F97" i="1"/>
  <c r="B97" i="1"/>
  <c r="D103" i="1"/>
  <c r="F103" i="1"/>
  <c r="B103" i="1"/>
  <c r="F111" i="1"/>
  <c r="H111" i="1"/>
  <c r="B111" i="1"/>
  <c r="B31" i="1"/>
  <c r="H31" i="1"/>
  <c r="D31" i="1"/>
  <c r="H36" i="1"/>
  <c r="F36" i="1"/>
  <c r="D36" i="1"/>
  <c r="H52" i="1"/>
  <c r="B52" i="1"/>
  <c r="D52" i="1"/>
  <c r="F57" i="1"/>
  <c r="D57" i="1"/>
  <c r="H57" i="1"/>
  <c r="F65" i="1"/>
  <c r="B65" i="1"/>
  <c r="H65" i="1"/>
  <c r="F73" i="1"/>
  <c r="D73" i="1"/>
  <c r="B73" i="1"/>
  <c r="B78" i="1"/>
  <c r="F78" i="1"/>
  <c r="D78" i="1"/>
  <c r="D85" i="1"/>
  <c r="H85" i="1"/>
  <c r="F85" i="1"/>
  <c r="F92" i="1"/>
  <c r="H92" i="1"/>
  <c r="D92" i="1"/>
  <c r="H99" i="1"/>
  <c r="B99" i="1"/>
  <c r="F99" i="1"/>
  <c r="B105" i="1"/>
  <c r="H105" i="1"/>
  <c r="D105" i="1"/>
  <c r="D114" i="1"/>
  <c r="B119" i="1" l="1"/>
  <c r="J10" i="1" s="1"/>
  <c r="J13" i="1" s="1"/>
  <c r="H119" i="1"/>
  <c r="M10" i="1" s="1"/>
  <c r="M13" i="1" s="1"/>
  <c r="F119" i="1"/>
  <c r="L10" i="1" s="1"/>
  <c r="L13" i="1" s="1"/>
  <c r="D119" i="1"/>
  <c r="K10" i="1" s="1"/>
  <c r="K13" i="1" s="1"/>
</calcChain>
</file>

<file path=xl/sharedStrings.xml><?xml version="1.0" encoding="utf-8"?>
<sst xmlns="http://schemas.openxmlformats.org/spreadsheetml/2006/main" count="489" uniqueCount="203">
  <si>
    <t>Alinor</t>
  </si>
  <si>
    <t>Sunhold</t>
  </si>
  <si>
    <t>Dusk</t>
  </si>
  <si>
    <t>Shimmerene</t>
  </si>
  <si>
    <t>Lillandril</t>
  </si>
  <si>
    <t>Havrebrume</t>
  </si>
  <si>
    <t>Primeterre</t>
  </si>
  <si>
    <t>Gardeciel</t>
  </si>
  <si>
    <t>Nourriture</t>
  </si>
  <si>
    <t>Bois</t>
  </si>
  <si>
    <t>Fer</t>
  </si>
  <si>
    <t>Solitude</t>
  </si>
  <si>
    <t>Markarth</t>
  </si>
  <si>
    <t>Épervine</t>
  </si>
  <si>
    <t>Faillaise</t>
  </si>
  <si>
    <t>Blancherive</t>
  </si>
  <si>
    <t>Vendeaume</t>
  </si>
  <si>
    <t>Fordhiver</t>
  </si>
  <si>
    <t>Aubétoile</t>
  </si>
  <si>
    <t>Archipel de l'Automne</t>
  </si>
  <si>
    <t>Bordeciel</t>
  </si>
  <si>
    <t>Cyrodiil</t>
  </si>
  <si>
    <t>Cité Impériale</t>
  </si>
  <si>
    <t>Bruma</t>
  </si>
  <si>
    <t>Cheydinhal</t>
  </si>
  <si>
    <t>Chorrol</t>
  </si>
  <si>
    <t>Skingrad</t>
  </si>
  <si>
    <t>Anvil</t>
  </si>
  <si>
    <t>Bravil</t>
  </si>
  <si>
    <t>Leyawiin</t>
  </si>
  <si>
    <t>Elsweyr</t>
  </si>
  <si>
    <t>Torval</t>
  </si>
  <si>
    <t>Corinthe</t>
  </si>
  <si>
    <t>Senchal</t>
  </si>
  <si>
    <t>Orcrest</t>
  </si>
  <si>
    <t>Dune</t>
  </si>
  <si>
    <t>Fort-de-Rive</t>
  </si>
  <si>
    <t>Rimmen</t>
  </si>
  <si>
    <t>Hauteroche</t>
  </si>
  <si>
    <t>Daggerfall</t>
  </si>
  <si>
    <t>Camlorn</t>
  </si>
  <si>
    <t>Sharnhelm</t>
  </si>
  <si>
    <t>Pointenord</t>
  </si>
  <si>
    <t>Refuge</t>
  </si>
  <si>
    <t>Evermor</t>
  </si>
  <si>
    <t>Farrun</t>
  </si>
  <si>
    <t>Lenclume</t>
  </si>
  <si>
    <t>Sentinelle</t>
  </si>
  <si>
    <t>Helgathe</t>
  </si>
  <si>
    <t>Gilane</t>
  </si>
  <si>
    <t>Taneth</t>
  </si>
  <si>
    <t>Rihad</t>
  </si>
  <si>
    <t>Elinhir</t>
  </si>
  <si>
    <t>Skaven</t>
  </si>
  <si>
    <t>Dragonstar</t>
  </si>
  <si>
    <t>Kvatch</t>
  </si>
  <si>
    <t>Marais Noir</t>
  </si>
  <si>
    <t>Rosenoire</t>
  </si>
  <si>
    <t>Havrelâme</t>
  </si>
  <si>
    <t>Gideon</t>
  </si>
  <si>
    <t>Fort-Tempête</t>
  </si>
  <si>
    <t>Thorn</t>
  </si>
  <si>
    <t>Helstrom</t>
  </si>
  <si>
    <t>Archon</t>
  </si>
  <si>
    <t>Lilmoth</t>
  </si>
  <si>
    <t>Morrowind</t>
  </si>
  <si>
    <t>Longsanglot</t>
  </si>
  <si>
    <t>Narsis</t>
  </si>
  <si>
    <t>Larme</t>
  </si>
  <si>
    <t>Coeurébène</t>
  </si>
  <si>
    <t>Nécrom</t>
  </si>
  <si>
    <t>Balmora</t>
  </si>
  <si>
    <t>Ald'ruhn</t>
  </si>
  <si>
    <t>Sombrejour</t>
  </si>
  <si>
    <t>Val-Boisé</t>
  </si>
  <si>
    <t>Falinesti</t>
  </si>
  <si>
    <t>Arenthia</t>
  </si>
  <si>
    <t>Silvenar</t>
  </si>
  <si>
    <t>Vieilracine</t>
  </si>
  <si>
    <t>Havre</t>
  </si>
  <si>
    <t>Pointesud</t>
  </si>
  <si>
    <t>Coeurvert</t>
  </si>
  <si>
    <t>Boisfoyer</t>
  </si>
  <si>
    <t>Solstheim</t>
  </si>
  <si>
    <t>Corberoche</t>
  </si>
  <si>
    <t>Skaal</t>
  </si>
  <si>
    <t>Thirsk</t>
  </si>
  <si>
    <t>Jéhanna</t>
  </si>
  <si>
    <t>Gemmes</t>
  </si>
  <si>
    <t>Orsinium</t>
  </si>
  <si>
    <t>Pour calculer vos Ressources…</t>
  </si>
  <si>
    <t>Strik</t>
  </si>
  <si>
    <t>Stros M'Kai</t>
  </si>
  <si>
    <t>Vivec</t>
  </si>
  <si>
    <t>Sadrith Mora</t>
  </si>
  <si>
    <t>Dagon Fel</t>
  </si>
  <si>
    <t>Port Telvannis</t>
  </si>
  <si>
    <t>Calculateur de ressources</t>
  </si>
  <si>
    <t>Nom de votre province :</t>
  </si>
  <si>
    <t xml:space="preserve"> du nouvel an</t>
  </si>
  <si>
    <t>Mise à jour :</t>
  </si>
  <si>
    <t>Renseignez votre province…</t>
  </si>
  <si>
    <t>Province</t>
  </si>
  <si>
    <t>Statut de</t>
  </si>
  <si>
    <t>Pénalité</t>
  </si>
  <si>
    <t>Non Possédée</t>
  </si>
  <si>
    <t>Possédée</t>
  </si>
  <si>
    <r>
      <t xml:space="preserve">la ville </t>
    </r>
    <r>
      <rPr>
        <sz val="11"/>
        <color rgb="FFFF0000"/>
        <rFont val="Calibri"/>
        <family val="2"/>
        <scheme val="minor"/>
      </rPr>
      <t>*</t>
    </r>
  </si>
  <si>
    <t>* Mettre le statut du début de l'année en cours !</t>
  </si>
  <si>
    <r>
      <t xml:space="preserve">de Siège </t>
    </r>
    <r>
      <rPr>
        <sz val="11"/>
        <color rgb="FFFF0000"/>
        <rFont val="Calibri"/>
        <family val="2"/>
        <scheme val="minor"/>
      </rPr>
      <t>*</t>
    </r>
  </si>
  <si>
    <t>5E 191</t>
  </si>
  <si>
    <t>5E 192</t>
  </si>
  <si>
    <t>5E 193</t>
  </si>
  <si>
    <t>5E 194</t>
  </si>
  <si>
    <t>5E 195</t>
  </si>
  <si>
    <t>5E 196</t>
  </si>
  <si>
    <t>5E 197</t>
  </si>
  <si>
    <t>5E 198</t>
  </si>
  <si>
    <t>5E 199</t>
  </si>
  <si>
    <t>5E 200</t>
  </si>
  <si>
    <t>5E 201</t>
  </si>
  <si>
    <t>5E 202</t>
  </si>
  <si>
    <t>5E 203</t>
  </si>
  <si>
    <t>5E 204</t>
  </si>
  <si>
    <t>5E 205</t>
  </si>
  <si>
    <t>5E 206</t>
  </si>
  <si>
    <t>5E 207</t>
  </si>
  <si>
    <t>5E 208</t>
  </si>
  <si>
    <t>5E 209</t>
  </si>
  <si>
    <t>5E 210</t>
  </si>
  <si>
    <t>Test villes possedées</t>
  </si>
  <si>
    <t>Villes</t>
  </si>
  <si>
    <t>En Siège</t>
  </si>
  <si>
    <t>Somme totale</t>
  </si>
  <si>
    <t>Facteur possesion</t>
  </si>
  <si>
    <t>5E 211</t>
  </si>
  <si>
    <t>5E 212</t>
  </si>
  <si>
    <t>5E 213</t>
  </si>
  <si>
    <t>5E 214</t>
  </si>
  <si>
    <t>Impôts</t>
  </si>
  <si>
    <t>Touchés</t>
  </si>
  <si>
    <r>
      <t>Colonies</t>
    </r>
    <r>
      <rPr>
        <b/>
        <sz val="11"/>
        <color rgb="FF008000"/>
        <rFont val="Calibri"/>
        <family val="2"/>
        <scheme val="minor"/>
      </rPr>
      <t>*</t>
    </r>
  </si>
  <si>
    <t>Colonies</t>
  </si>
  <si>
    <t>Villes &amp; Colonies</t>
  </si>
  <si>
    <t>Ne modifier que les cases en jaune !!</t>
  </si>
  <si>
    <t>Ferme</t>
  </si>
  <si>
    <t>Scierie</t>
  </si>
  <si>
    <t>Mine</t>
  </si>
  <si>
    <t>Productivité des matières premières</t>
  </si>
  <si>
    <t>Comptoir</t>
  </si>
  <si>
    <t>Marché</t>
  </si>
  <si>
    <t>Banque</t>
  </si>
  <si>
    <t>Limite de bâtiments</t>
  </si>
  <si>
    <t>Guilde Mages</t>
  </si>
  <si>
    <t>Auto-calculé</t>
  </si>
  <si>
    <t>À renseigner</t>
  </si>
  <si>
    <t>Aide =&gt;</t>
  </si>
  <si>
    <t>5E 215</t>
  </si>
  <si>
    <t>Indiquez par "Oui" ou "Non" si la structure est présente, en respectant la limite de bâtiments</t>
  </si>
  <si>
    <t>Fantassins</t>
  </si>
  <si>
    <t>Archers</t>
  </si>
  <si>
    <t>Cavalerie</t>
  </si>
  <si>
    <t>Mineur</t>
  </si>
  <si>
    <t>Engins de Siège</t>
  </si>
  <si>
    <t>Élite</t>
  </si>
  <si>
    <t>-</t>
  </si>
  <si>
    <t>Palais</t>
  </si>
  <si>
    <t>Bâtiments de production présents</t>
  </si>
  <si>
    <t>Collecteurs de ressources présents</t>
  </si>
  <si>
    <t>En violet la prod réelle, sur fond gris la prod de base</t>
  </si>
  <si>
    <t>Non</t>
  </si>
  <si>
    <t>Stocks actuels :</t>
  </si>
  <si>
    <t>Consomation de produits pour les recrutements :</t>
  </si>
  <si>
    <t>Nourriture utilisée pour la paye des troupes :</t>
  </si>
  <si>
    <t>Votre production de cette année :</t>
  </si>
  <si>
    <t>Stock de vos ressources avant le nouvel-an :</t>
  </si>
  <si>
    <t>Impôts à toucher cette année :</t>
  </si>
  <si>
    <t>septims</t>
  </si>
  <si>
    <t>Réduction sur la salaire des troupes :</t>
  </si>
  <si>
    <t>PU</t>
  </si>
  <si>
    <t>Salaire de base pour les troupes :</t>
  </si>
  <si>
    <t>Septims à payer pour les troupes :</t>
  </si>
  <si>
    <t>Rentrée fiscale totale après paye des troupes :</t>
  </si>
  <si>
    <t>(Maximum :</t>
  </si>
  <si>
    <t>septims)</t>
  </si>
  <si>
    <t>chargements)</t>
  </si>
  <si>
    <t>Avec matière première</t>
  </si>
  <si>
    <t>Sans matière première</t>
  </si>
  <si>
    <t>Non défini</t>
  </si>
  <si>
    <t>2 500 septims + 2 Gemmes</t>
  </si>
  <si>
    <t>2 000 septims + 2 Bois</t>
  </si>
  <si>
    <t>2 000 septims + 2 Nourriture</t>
  </si>
  <si>
    <t>2 000 septims + 2 Fer</t>
  </si>
  <si>
    <t>5 000 septims</t>
  </si>
  <si>
    <t>4 000 septims</t>
  </si>
  <si>
    <t>6 000 septims</t>
  </si>
  <si>
    <t>Prix des troupes :</t>
  </si>
  <si>
    <t>Total de vos PU plaine hors-combat au nouvel-an :</t>
  </si>
  <si>
    <t>(Mettre 0 si première</t>
  </si>
  <si>
    <t xml:space="preserve"> année de règne avec RAZ)</t>
  </si>
  <si>
    <t>Trésorerie au 31 Soirétoile de l'année précédente :</t>
  </si>
  <si>
    <t>Trésorerie au 1er Primétoile de cette année :</t>
  </si>
  <si>
    <t>Calculateur de Ressouces V11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</si>
</sst>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_ ;[Red]\-#,##0\ "/>
    <numFmt numFmtId="165" formatCode="#,##0.000_ ;[Red]\-#,##0.0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i/>
      <sz val="11"/>
      <color rgb="FF31869B"/>
      <name val="Calibri"/>
      <family val="2"/>
      <scheme val="minor"/>
    </font>
    <font>
      <sz val="11"/>
      <color rgb="FF800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CFF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 style="hair">
        <color theme="0" tint="-0.24994659260841701"/>
      </left>
      <right/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auto="1"/>
      </bottom>
      <diagonal/>
    </border>
    <border>
      <left style="thin">
        <color auto="1"/>
      </left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 style="thin">
        <color auto="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auto="1"/>
      </left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 style="hair">
        <color theme="0" tint="-0.24994659260841701"/>
      </left>
      <right style="thin">
        <color auto="1"/>
      </right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/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medium">
        <color auto="1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medium">
        <color auto="1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/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 style="thin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/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medium">
        <color auto="1"/>
      </top>
      <bottom style="medium">
        <color auto="1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/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medium">
        <color auto="1"/>
      </left>
      <right style="hair">
        <color theme="0" tint="-0.24994659260841701"/>
      </right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3" fillId="0" borderId="0" xfId="0" applyFont="1"/>
    <xf numFmtId="0" fontId="7" fillId="0" borderId="0" xfId="0" applyFont="1"/>
    <xf numFmtId="0" fontId="0" fillId="0" borderId="0" xfId="0" applyFont="1"/>
    <xf numFmtId="0" fontId="10" fillId="0" borderId="0" xfId="0" applyFont="1"/>
    <xf numFmtId="49" fontId="8" fillId="0" borderId="0" xfId="0" applyNumberFormat="1" applyFont="1"/>
    <xf numFmtId="0" fontId="0" fillId="0" borderId="1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0" xfId="0" applyNumberFormat="1"/>
    <xf numFmtId="9" fontId="0" fillId="2" borderId="3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9" fontId="0" fillId="2" borderId="12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0" fillId="0" borderId="12" xfId="0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64" fontId="12" fillId="0" borderId="12" xfId="0" applyNumberFormat="1" applyFont="1" applyBorder="1"/>
    <xf numFmtId="0" fontId="12" fillId="0" borderId="8" xfId="0" applyFont="1" applyBorder="1" applyAlignment="1">
      <alignment horizontal="right"/>
    </xf>
    <xf numFmtId="0" fontId="0" fillId="0" borderId="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1" fillId="2" borderId="39" xfId="0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164" fontId="1" fillId="2" borderId="26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164" fontId="1" fillId="2" borderId="40" xfId="0" applyNumberFormat="1" applyFont="1" applyFill="1" applyBorder="1" applyAlignment="1">
      <alignment horizontal="center"/>
    </xf>
    <xf numFmtId="164" fontId="1" fillId="2" borderId="27" xfId="0" applyNumberFormat="1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/>
    </xf>
    <xf numFmtId="164" fontId="1" fillId="2" borderId="38" xfId="0" applyNumberFormat="1" applyFont="1" applyFill="1" applyBorder="1" applyAlignment="1">
      <alignment horizontal="center"/>
    </xf>
    <xf numFmtId="164" fontId="1" fillId="2" borderId="28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164" fontId="1" fillId="2" borderId="37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1" fillId="2" borderId="32" xfId="0" applyNumberFormat="1" applyFont="1" applyFill="1" applyBorder="1" applyAlignment="1">
      <alignment horizontal="center"/>
    </xf>
    <xf numFmtId="164" fontId="1" fillId="2" borderId="33" xfId="0" applyNumberFormat="1" applyFont="1" applyFill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3" fillId="0" borderId="41" xfId="0" applyFont="1" applyBorder="1" applyAlignment="1">
      <alignment horizontal="center"/>
    </xf>
    <xf numFmtId="164" fontId="0" fillId="3" borderId="42" xfId="0" applyNumberFormat="1" applyFill="1" applyBorder="1" applyAlignment="1">
      <alignment horizontal="center"/>
    </xf>
    <xf numFmtId="0" fontId="13" fillId="0" borderId="43" xfId="0" applyFont="1" applyBorder="1" applyAlignment="1">
      <alignment horizontal="center"/>
    </xf>
    <xf numFmtId="164" fontId="0" fillId="3" borderId="44" xfId="0" applyNumberFormat="1" applyFill="1" applyBorder="1" applyAlignment="1">
      <alignment horizontal="center"/>
    </xf>
    <xf numFmtId="0" fontId="13" fillId="0" borderId="45" xfId="0" applyFont="1" applyBorder="1" applyAlignment="1">
      <alignment horizontal="center"/>
    </xf>
    <xf numFmtId="164" fontId="0" fillId="3" borderId="46" xfId="0" applyNumberFormat="1" applyFill="1" applyBorder="1" applyAlignment="1">
      <alignment horizontal="center"/>
    </xf>
    <xf numFmtId="0" fontId="13" fillId="0" borderId="47" xfId="0" applyFont="1" applyBorder="1" applyAlignment="1">
      <alignment horizontal="center"/>
    </xf>
    <xf numFmtId="164" fontId="0" fillId="3" borderId="48" xfId="0" applyNumberFormat="1" applyFill="1" applyBorder="1" applyAlignment="1">
      <alignment horizontal="center"/>
    </xf>
    <xf numFmtId="0" fontId="13" fillId="0" borderId="49" xfId="0" applyFont="1" applyBorder="1" applyAlignment="1">
      <alignment horizontal="center"/>
    </xf>
    <xf numFmtId="164" fontId="0" fillId="3" borderId="50" xfId="0" applyNumberFormat="1" applyFill="1" applyBorder="1" applyAlignment="1">
      <alignment horizontal="center"/>
    </xf>
    <xf numFmtId="164" fontId="0" fillId="3" borderId="63" xfId="0" applyNumberFormat="1" applyFill="1" applyBorder="1" applyAlignment="1">
      <alignment horizontal="center"/>
    </xf>
    <xf numFmtId="164" fontId="0" fillId="3" borderId="64" xfId="0" applyNumberFormat="1" applyFill="1" applyBorder="1" applyAlignment="1">
      <alignment horizontal="center"/>
    </xf>
    <xf numFmtId="164" fontId="0" fillId="3" borderId="65" xfId="0" applyNumberFormat="1" applyFill="1" applyBorder="1" applyAlignment="1">
      <alignment horizontal="center"/>
    </xf>
    <xf numFmtId="164" fontId="0" fillId="3" borderId="66" xfId="0" applyNumberFormat="1" applyFill="1" applyBorder="1" applyAlignment="1">
      <alignment horizontal="center"/>
    </xf>
    <xf numFmtId="164" fontId="0" fillId="3" borderId="67" xfId="0" applyNumberFormat="1" applyFill="1" applyBorder="1" applyAlignment="1">
      <alignment horizontal="center"/>
    </xf>
    <xf numFmtId="164" fontId="13" fillId="0" borderId="68" xfId="0" applyNumberFormat="1" applyFont="1" applyBorder="1" applyAlignment="1">
      <alignment horizontal="center"/>
    </xf>
    <xf numFmtId="164" fontId="13" fillId="0" borderId="69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164" fontId="0" fillId="3" borderId="53" xfId="0" applyNumberFormat="1" applyFill="1" applyBorder="1" applyAlignment="1">
      <alignment horizontal="center"/>
    </xf>
    <xf numFmtId="164" fontId="13" fillId="0" borderId="56" xfId="0" applyNumberFormat="1" applyFont="1" applyBorder="1" applyAlignment="1">
      <alignment horizontal="center"/>
    </xf>
    <xf numFmtId="164" fontId="0" fillId="3" borderId="55" xfId="0" applyNumberFormat="1" applyFill="1" applyBorder="1" applyAlignment="1">
      <alignment horizontal="center"/>
    </xf>
    <xf numFmtId="164" fontId="13" fillId="0" borderId="58" xfId="0" applyNumberFormat="1" applyFont="1" applyBorder="1" applyAlignment="1">
      <alignment horizontal="center"/>
    </xf>
    <xf numFmtId="164" fontId="0" fillId="3" borderId="57" xfId="0" applyNumberFormat="1" applyFill="1" applyBorder="1" applyAlignment="1">
      <alignment horizontal="center"/>
    </xf>
    <xf numFmtId="164" fontId="13" fillId="0" borderId="60" xfId="0" applyNumberFormat="1" applyFont="1" applyBorder="1" applyAlignment="1">
      <alignment horizontal="center"/>
    </xf>
    <xf numFmtId="164" fontId="0" fillId="3" borderId="59" xfId="0" applyNumberFormat="1" applyFill="1" applyBorder="1" applyAlignment="1">
      <alignment horizontal="center"/>
    </xf>
    <xf numFmtId="164" fontId="13" fillId="0" borderId="62" xfId="0" applyNumberFormat="1" applyFont="1" applyBorder="1" applyAlignment="1">
      <alignment horizontal="center"/>
    </xf>
    <xf numFmtId="164" fontId="0" fillId="3" borderId="61" xfId="0" applyNumberFormat="1" applyFill="1" applyBorder="1" applyAlignment="1">
      <alignment horizontal="center"/>
    </xf>
    <xf numFmtId="164" fontId="0" fillId="0" borderId="52" xfId="0" applyNumberFormat="1" applyBorder="1" applyAlignment="1">
      <alignment horizontal="center"/>
    </xf>
    <xf numFmtId="164" fontId="0" fillId="3" borderId="51" xfId="0" applyNumberFormat="1" applyFill="1" applyBorder="1" applyAlignment="1">
      <alignment horizontal="center"/>
    </xf>
    <xf numFmtId="164" fontId="13" fillId="0" borderId="70" xfId="0" applyNumberFormat="1" applyFont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2" borderId="18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/>
    </xf>
    <xf numFmtId="164" fontId="1" fillId="2" borderId="71" xfId="0" applyNumberFormat="1" applyFont="1" applyFill="1" applyBorder="1" applyAlignment="1">
      <alignment horizontal="center"/>
    </xf>
    <xf numFmtId="0" fontId="1" fillId="0" borderId="72" xfId="0" applyFont="1" applyBorder="1" applyAlignment="1">
      <alignment horizontal="center"/>
    </xf>
    <xf numFmtId="164" fontId="1" fillId="2" borderId="73" xfId="0" applyNumberFormat="1" applyFont="1" applyFill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0" fillId="0" borderId="20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5" xfId="0" applyBorder="1"/>
    <xf numFmtId="0" fontId="0" fillId="0" borderId="77" xfId="0" applyBorder="1"/>
    <xf numFmtId="0" fontId="0" fillId="3" borderId="76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1" xfId="0" applyBorder="1" applyAlignment="1">
      <alignment horizontal="right"/>
    </xf>
    <xf numFmtId="3" fontId="0" fillId="3" borderId="18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</cellXfs>
  <cellStyles count="2">
    <cellStyle name="Milliers" xfId="1" builtinId="3"/>
    <cellStyle name="Normal" xfId="0" builtinId="0"/>
  </cellStyles>
  <dxfs count="145"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FFECFF"/>
      <color rgb="FFCCFFFF"/>
      <color rgb="FF800080"/>
      <color rgb="FF008000"/>
      <color rgb="FF31869B"/>
      <color rgb="FF0000FF"/>
      <color rgb="FF006600"/>
      <color rgb="FFCC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7"/>
  <sheetViews>
    <sheetView tabSelected="1" zoomScaleNormal="100" workbookViewId="0">
      <selection activeCell="U2" sqref="U2"/>
    </sheetView>
  </sheetViews>
  <sheetFormatPr baseColWidth="10" defaultRowHeight="15" x14ac:dyDescent="0.25"/>
  <cols>
    <col min="1" max="1" width="23.42578125" customWidth="1"/>
    <col min="2" max="9" width="5.7109375" customWidth="1"/>
    <col min="10" max="13" width="13.140625" customWidth="1"/>
    <col min="14" max="17" width="10" customWidth="1"/>
    <col min="18" max="18" width="12" customWidth="1"/>
    <col min="19" max="19" width="14.5703125" customWidth="1"/>
    <col min="20" max="20" width="11" customWidth="1"/>
    <col min="21" max="21" width="10.42578125" customWidth="1"/>
    <col min="22" max="22" width="10.28515625" customWidth="1"/>
  </cols>
  <sheetData>
    <row r="1" spans="1:21" ht="21" x14ac:dyDescent="0.35">
      <c r="A1" s="2" t="s">
        <v>202</v>
      </c>
      <c r="B1" s="1"/>
    </row>
    <row r="3" spans="1:21" x14ac:dyDescent="0.25">
      <c r="A3" t="s">
        <v>90</v>
      </c>
    </row>
    <row r="4" spans="1:21" x14ac:dyDescent="0.25">
      <c r="A4" t="s">
        <v>144</v>
      </c>
    </row>
    <row r="6" spans="1:21" x14ac:dyDescent="0.25">
      <c r="A6" s="9" t="s">
        <v>97</v>
      </c>
      <c r="B6" s="10"/>
      <c r="C6" s="8" t="s">
        <v>98</v>
      </c>
      <c r="G6" s="96" t="s">
        <v>19</v>
      </c>
      <c r="H6" s="97"/>
      <c r="I6" s="97"/>
      <c r="J6" s="98"/>
    </row>
    <row r="7" spans="1:21" x14ac:dyDescent="0.25">
      <c r="A7" s="13" t="s">
        <v>99</v>
      </c>
      <c r="B7" s="11"/>
      <c r="C7" t="s">
        <v>100</v>
      </c>
      <c r="G7" s="116" t="s">
        <v>110</v>
      </c>
      <c r="H7" s="117"/>
      <c r="M7" s="12"/>
    </row>
    <row r="8" spans="1:21" x14ac:dyDescent="0.25">
      <c r="A8" s="9"/>
      <c r="J8" s="121" t="s">
        <v>8</v>
      </c>
      <c r="K8" s="121" t="s">
        <v>9</v>
      </c>
      <c r="L8" s="121" t="s">
        <v>10</v>
      </c>
      <c r="M8" s="121" t="s">
        <v>88</v>
      </c>
      <c r="O8" s="137" t="s">
        <v>196</v>
      </c>
      <c r="P8" s="137"/>
      <c r="Q8" s="137" t="s">
        <v>186</v>
      </c>
      <c r="R8" s="137"/>
      <c r="S8" s="137"/>
      <c r="T8" s="137" t="s">
        <v>187</v>
      </c>
      <c r="U8" s="137"/>
    </row>
    <row r="9" spans="1:21" x14ac:dyDescent="0.25">
      <c r="A9" s="13"/>
      <c r="B9" s="120" t="s">
        <v>175</v>
      </c>
      <c r="C9" s="120"/>
      <c r="D9" s="120"/>
      <c r="E9" s="120"/>
      <c r="F9" s="120"/>
      <c r="G9" s="120"/>
      <c r="H9" s="120"/>
      <c r="I9" s="120"/>
      <c r="J9" s="126">
        <v>0</v>
      </c>
      <c r="K9" s="126">
        <v>0</v>
      </c>
      <c r="L9" s="126">
        <v>0</v>
      </c>
      <c r="M9" s="126">
        <v>0</v>
      </c>
      <c r="O9" s="138" t="s">
        <v>159</v>
      </c>
      <c r="P9" s="138"/>
      <c r="Q9" s="120" t="s">
        <v>192</v>
      </c>
      <c r="R9" s="120"/>
      <c r="S9" s="120"/>
      <c r="T9" s="120" t="s">
        <v>193</v>
      </c>
      <c r="U9" s="120"/>
    </row>
    <row r="10" spans="1:21" x14ac:dyDescent="0.25">
      <c r="B10" s="120" t="s">
        <v>174</v>
      </c>
      <c r="C10" s="120"/>
      <c r="D10" s="120"/>
      <c r="E10" s="120"/>
      <c r="F10" s="120"/>
      <c r="G10" s="120"/>
      <c r="H10" s="120"/>
      <c r="I10" s="120"/>
      <c r="J10" s="127">
        <f>B119</f>
        <v>0</v>
      </c>
      <c r="K10" s="128">
        <f>D119</f>
        <v>0</v>
      </c>
      <c r="L10" s="128">
        <f>F119</f>
        <v>0</v>
      </c>
      <c r="M10" s="128">
        <f>H119</f>
        <v>0</v>
      </c>
      <c r="O10" s="138" t="s">
        <v>160</v>
      </c>
      <c r="P10" s="138"/>
      <c r="Q10" s="120" t="s">
        <v>188</v>
      </c>
      <c r="R10" s="120"/>
      <c r="S10" s="120"/>
      <c r="T10" s="120" t="s">
        <v>194</v>
      </c>
      <c r="U10" s="120"/>
    </row>
    <row r="11" spans="1:21" x14ac:dyDescent="0.25">
      <c r="B11" s="120" t="s">
        <v>172</v>
      </c>
      <c r="C11" s="120"/>
      <c r="D11" s="120"/>
      <c r="E11" s="120"/>
      <c r="F11" s="120"/>
      <c r="G11" s="120"/>
      <c r="H11" s="120"/>
      <c r="I11" s="120"/>
      <c r="J11" s="126"/>
      <c r="K11" s="126"/>
      <c r="L11" s="126"/>
      <c r="M11" s="126"/>
      <c r="O11" s="138" t="s">
        <v>161</v>
      </c>
      <c r="P11" s="138"/>
      <c r="Q11" s="120" t="s">
        <v>191</v>
      </c>
      <c r="R11" s="120"/>
      <c r="S11" s="120"/>
      <c r="T11" s="120" t="s">
        <v>193</v>
      </c>
      <c r="U11" s="120"/>
    </row>
    <row r="12" spans="1:21" x14ac:dyDescent="0.25">
      <c r="B12" s="120" t="s">
        <v>173</v>
      </c>
      <c r="C12" s="120"/>
      <c r="D12" s="120"/>
      <c r="E12" s="120"/>
      <c r="F12" s="120"/>
      <c r="G12" s="120"/>
      <c r="H12" s="120"/>
      <c r="I12" s="120"/>
      <c r="J12" s="126"/>
      <c r="K12" s="134" t="s">
        <v>183</v>
      </c>
      <c r="L12" s="136">
        <f>ROUNDUP(J18/2000,0)</f>
        <v>0</v>
      </c>
      <c r="M12" s="135" t="s">
        <v>185</v>
      </c>
      <c r="O12" s="138" t="s">
        <v>162</v>
      </c>
      <c r="P12" s="138"/>
      <c r="Q12" s="120" t="s">
        <v>188</v>
      </c>
      <c r="R12" s="120"/>
      <c r="S12" s="120"/>
      <c r="T12" s="120" t="s">
        <v>194</v>
      </c>
      <c r="U12" s="120"/>
    </row>
    <row r="13" spans="1:21" x14ac:dyDescent="0.25">
      <c r="B13" s="120" t="s">
        <v>171</v>
      </c>
      <c r="C13" s="120"/>
      <c r="D13" s="120"/>
      <c r="E13" s="120"/>
      <c r="F13" s="120"/>
      <c r="G13" s="120"/>
      <c r="H13" s="120"/>
      <c r="I13" s="120"/>
      <c r="J13" s="127">
        <f>J9+J10-J11-J12</f>
        <v>0</v>
      </c>
      <c r="K13" s="128">
        <f>K9+K10-K11</f>
        <v>0</v>
      </c>
      <c r="L13" s="128">
        <f t="shared" ref="L13" si="0">L9+L10-L11</f>
        <v>0</v>
      </c>
      <c r="M13" s="128">
        <f>M9+M10-M11</f>
        <v>0</v>
      </c>
      <c r="O13" s="138" t="s">
        <v>163</v>
      </c>
      <c r="P13" s="138"/>
      <c r="Q13" s="120" t="s">
        <v>190</v>
      </c>
      <c r="R13" s="120"/>
      <c r="S13" s="120"/>
      <c r="T13" s="120" t="s">
        <v>193</v>
      </c>
      <c r="U13" s="120"/>
    </row>
    <row r="14" spans="1:21" x14ac:dyDescent="0.25">
      <c r="B14" s="130"/>
      <c r="C14" s="130"/>
      <c r="D14" s="130"/>
      <c r="E14" s="130"/>
      <c r="F14" s="130"/>
      <c r="G14" s="130"/>
      <c r="O14" s="138" t="s">
        <v>164</v>
      </c>
      <c r="P14" s="138"/>
      <c r="Q14" s="120" t="s">
        <v>189</v>
      </c>
      <c r="R14" s="120"/>
      <c r="S14" s="120"/>
      <c r="T14" s="120" t="s">
        <v>195</v>
      </c>
      <c r="U14" s="120"/>
    </row>
    <row r="15" spans="1:21" x14ac:dyDescent="0.25">
      <c r="B15" s="132" t="s">
        <v>200</v>
      </c>
      <c r="C15" s="133"/>
      <c r="D15" s="133"/>
      <c r="E15" s="133"/>
      <c r="F15" s="133"/>
      <c r="G15" s="133"/>
      <c r="H15" s="133"/>
      <c r="I15" s="131"/>
      <c r="J15" s="139">
        <v>100000</v>
      </c>
      <c r="K15" s="129" t="s">
        <v>177</v>
      </c>
      <c r="Q15" s="130"/>
      <c r="R15" s="130"/>
      <c r="S15" s="130"/>
      <c r="T15" s="130"/>
      <c r="U15" s="130"/>
    </row>
    <row r="16" spans="1:21" x14ac:dyDescent="0.25">
      <c r="B16" s="132" t="s">
        <v>176</v>
      </c>
      <c r="C16" s="133"/>
      <c r="D16" s="133"/>
      <c r="E16" s="133"/>
      <c r="F16" s="133"/>
      <c r="G16" s="133"/>
      <c r="H16" s="133"/>
      <c r="I16" s="131"/>
      <c r="J16" s="143">
        <f>U119</f>
        <v>100000</v>
      </c>
      <c r="K16" s="129" t="s">
        <v>177</v>
      </c>
    </row>
    <row r="17" spans="1:22" x14ac:dyDescent="0.25">
      <c r="B17" s="132" t="s">
        <v>197</v>
      </c>
      <c r="C17" s="133"/>
      <c r="D17" s="133"/>
      <c r="E17" s="133"/>
      <c r="F17" s="133"/>
      <c r="G17" s="133"/>
      <c r="H17" s="133"/>
      <c r="I17" s="131"/>
      <c r="J17" s="139">
        <v>0</v>
      </c>
      <c r="K17" s="129" t="s">
        <v>179</v>
      </c>
      <c r="L17" s="140" t="s">
        <v>198</v>
      </c>
      <c r="M17" s="141"/>
    </row>
    <row r="18" spans="1:22" x14ac:dyDescent="0.25">
      <c r="B18" s="132" t="s">
        <v>180</v>
      </c>
      <c r="C18" s="133"/>
      <c r="D18" s="133"/>
      <c r="E18" s="133"/>
      <c r="F18" s="133"/>
      <c r="G18" s="133"/>
      <c r="H18" s="133"/>
      <c r="I18" s="131"/>
      <c r="J18" s="143">
        <f>J17/5</f>
        <v>0</v>
      </c>
      <c r="K18" s="129" t="s">
        <v>177</v>
      </c>
      <c r="L18" s="142" t="s">
        <v>199</v>
      </c>
      <c r="M18" s="119"/>
    </row>
    <row r="19" spans="1:22" x14ac:dyDescent="0.25">
      <c r="B19" s="132" t="s">
        <v>178</v>
      </c>
      <c r="C19" s="133"/>
      <c r="D19" s="133"/>
      <c r="E19" s="133"/>
      <c r="F19" s="133"/>
      <c r="G19" s="133"/>
      <c r="H19" s="133"/>
      <c r="I19" s="131"/>
      <c r="J19" s="143">
        <f>IF(J12*2000&gt;J18,M19,J12*1000)</f>
        <v>0</v>
      </c>
      <c r="K19" s="129" t="s">
        <v>177</v>
      </c>
      <c r="L19" t="s">
        <v>183</v>
      </c>
      <c r="M19" s="144">
        <f>J18/2</f>
        <v>0</v>
      </c>
    </row>
    <row r="20" spans="1:22" x14ac:dyDescent="0.25">
      <c r="B20" s="132" t="s">
        <v>181</v>
      </c>
      <c r="C20" s="133"/>
      <c r="D20" s="133"/>
      <c r="E20" s="133"/>
      <c r="F20" s="133"/>
      <c r="G20" s="133"/>
      <c r="H20" s="133"/>
      <c r="I20" s="131"/>
      <c r="J20" s="143">
        <f>J18-J19</f>
        <v>0</v>
      </c>
      <c r="K20" s="129" t="s">
        <v>177</v>
      </c>
      <c r="M20" s="118" t="s">
        <v>184</v>
      </c>
    </row>
    <row r="21" spans="1:22" x14ac:dyDescent="0.25">
      <c r="B21" s="132" t="s">
        <v>182</v>
      </c>
      <c r="C21" s="133"/>
      <c r="D21" s="133"/>
      <c r="E21" s="133"/>
      <c r="F21" s="133"/>
      <c r="G21" s="133"/>
      <c r="H21" s="133"/>
      <c r="I21" s="131"/>
      <c r="J21" s="143">
        <f>IF(J16&lt;J20,0,J16-J20)</f>
        <v>100000</v>
      </c>
      <c r="K21" s="129" t="s">
        <v>177</v>
      </c>
    </row>
    <row r="22" spans="1:22" x14ac:dyDescent="0.25">
      <c r="B22" s="132" t="s">
        <v>201</v>
      </c>
      <c r="C22" s="133"/>
      <c r="D22" s="133"/>
      <c r="E22" s="133"/>
      <c r="F22" s="133"/>
      <c r="G22" s="133"/>
      <c r="H22" s="133"/>
      <c r="I22" s="131"/>
      <c r="J22" s="143">
        <f>J15+J21</f>
        <v>200000</v>
      </c>
      <c r="K22" s="129" t="s">
        <v>177</v>
      </c>
      <c r="S22" s="14" t="s">
        <v>108</v>
      </c>
    </row>
    <row r="23" spans="1:22" ht="15.75" thickBot="1" x14ac:dyDescent="0.3"/>
    <row r="24" spans="1:22" ht="15.75" thickBot="1" x14ac:dyDescent="0.3">
      <c r="A24" s="38" t="s">
        <v>156</v>
      </c>
      <c r="B24" s="107" t="s">
        <v>169</v>
      </c>
      <c r="C24" s="107"/>
      <c r="D24" s="107"/>
      <c r="E24" s="107"/>
      <c r="F24" s="107"/>
      <c r="G24" s="107"/>
      <c r="H24" s="107"/>
      <c r="I24" s="107"/>
      <c r="J24" s="108" t="s">
        <v>158</v>
      </c>
      <c r="K24" s="109"/>
      <c r="L24" s="109"/>
      <c r="M24" s="109"/>
      <c r="N24" s="109"/>
      <c r="O24" s="109"/>
      <c r="P24" s="109"/>
      <c r="Q24" s="109"/>
      <c r="R24" s="37" t="s">
        <v>154</v>
      </c>
      <c r="S24" s="107" t="s">
        <v>155</v>
      </c>
      <c r="T24" s="107"/>
      <c r="U24" s="107" t="s">
        <v>154</v>
      </c>
      <c r="V24" s="107"/>
    </row>
    <row r="25" spans="1:22" ht="15.75" thickBot="1" x14ac:dyDescent="0.3">
      <c r="A25" s="16" t="s">
        <v>102</v>
      </c>
      <c r="B25" s="112" t="s">
        <v>148</v>
      </c>
      <c r="C25" s="113"/>
      <c r="D25" s="113"/>
      <c r="E25" s="113"/>
      <c r="F25" s="113"/>
      <c r="G25" s="113"/>
      <c r="H25" s="113"/>
      <c r="I25" s="104"/>
      <c r="J25" s="104" t="s">
        <v>167</v>
      </c>
      <c r="K25" s="105"/>
      <c r="L25" s="105"/>
      <c r="M25" s="106"/>
      <c r="N25" s="104" t="s">
        <v>168</v>
      </c>
      <c r="O25" s="105"/>
      <c r="P25" s="105"/>
      <c r="Q25" s="105"/>
      <c r="R25" s="114" t="s">
        <v>152</v>
      </c>
      <c r="S25" s="24" t="s">
        <v>103</v>
      </c>
      <c r="T25" s="15" t="s">
        <v>104</v>
      </c>
      <c r="U25" s="15" t="s">
        <v>139</v>
      </c>
      <c r="V25" s="110" t="s">
        <v>134</v>
      </c>
    </row>
    <row r="26" spans="1:22" ht="15.75" thickBot="1" x14ac:dyDescent="0.3">
      <c r="A26" s="32" t="s">
        <v>19</v>
      </c>
      <c r="B26" s="99" t="s">
        <v>8</v>
      </c>
      <c r="C26" s="100"/>
      <c r="D26" s="101" t="s">
        <v>9</v>
      </c>
      <c r="E26" s="102"/>
      <c r="F26" s="101" t="s">
        <v>10</v>
      </c>
      <c r="G26" s="102"/>
      <c r="H26" s="100" t="s">
        <v>88</v>
      </c>
      <c r="I26" s="103"/>
      <c r="J26" s="30" t="s">
        <v>145</v>
      </c>
      <c r="K26" s="30" t="s">
        <v>146</v>
      </c>
      <c r="L26" s="30" t="s">
        <v>147</v>
      </c>
      <c r="M26" s="35" t="s">
        <v>153</v>
      </c>
      <c r="N26" s="30" t="s">
        <v>149</v>
      </c>
      <c r="O26" s="30" t="s">
        <v>150</v>
      </c>
      <c r="P26" s="6" t="s">
        <v>151</v>
      </c>
      <c r="Q26" s="7" t="s">
        <v>166</v>
      </c>
      <c r="R26" s="115"/>
      <c r="S26" s="25" t="s">
        <v>107</v>
      </c>
      <c r="T26" s="17" t="s">
        <v>109</v>
      </c>
      <c r="U26" s="17" t="s">
        <v>140</v>
      </c>
      <c r="V26" s="111"/>
    </row>
    <row r="27" spans="1:22" x14ac:dyDescent="0.25">
      <c r="A27" s="4" t="s">
        <v>0</v>
      </c>
      <c r="B27" s="66">
        <f>TRUNC(C27*V27*(1-T27)*IF(J27="Oui - niveau 1",1,IF(J27="Oui - niveau 2",1.25,IF(J27="Oui - niveau 3",1.5,0))))</f>
        <v>0</v>
      </c>
      <c r="C27" s="76">
        <v>8</v>
      </c>
      <c r="D27" s="83"/>
      <c r="E27" s="84"/>
      <c r="F27" s="85">
        <f>TRUNC(G27*V27*(1-T27)*IF(L27="Oui - niveau 1",1,IF(L27="Oui - niveau 2",1.25,IF(L27="Oui - niveau 3",1.5,0))))</f>
        <v>0</v>
      </c>
      <c r="G27" s="84">
        <v>4</v>
      </c>
      <c r="H27" s="81">
        <f>TRUNC(I27*V27*(1-T27)*IF(M27="Oui - niveau 1",1,IF(M27="Oui - niveau 2",1.25,IF(M27="Oui - niveau 3",1.5,0))))</f>
        <v>0</v>
      </c>
      <c r="I27" s="67">
        <v>12</v>
      </c>
      <c r="J27" s="43" t="s">
        <v>170</v>
      </c>
      <c r="K27" s="44" t="s">
        <v>165</v>
      </c>
      <c r="L27" s="45" t="s">
        <v>170</v>
      </c>
      <c r="M27" s="46" t="s">
        <v>170</v>
      </c>
      <c r="N27" s="59" t="s">
        <v>170</v>
      </c>
      <c r="O27" s="46" t="s">
        <v>170</v>
      </c>
      <c r="P27" s="46" t="s">
        <v>170</v>
      </c>
      <c r="Q27" s="46" t="s">
        <v>170</v>
      </c>
      <c r="R27" s="40">
        <f>IF(Q27="Oui",7,4)</f>
        <v>4</v>
      </c>
      <c r="S27" s="22" t="s">
        <v>106</v>
      </c>
      <c r="T27" s="20">
        <v>0</v>
      </c>
      <c r="U27" s="148">
        <f>(IF(G$6="Archipel de l'Automne",30000,10000)+IF(N27="Oui",4000,0)+IF(O27="Oui",8000,0)+IF(P27="Oui",16000,0)+IF(Q27="Oui",20000,0))*V27*(1-T27)</f>
        <v>30000</v>
      </c>
      <c r="V27" s="145">
        <f>IF(S27="Possédée",1,IF(S27="Assiégée",0.5,0))</f>
        <v>1</v>
      </c>
    </row>
    <row r="28" spans="1:22" x14ac:dyDescent="0.25">
      <c r="A28" s="4" t="s">
        <v>1</v>
      </c>
      <c r="B28" s="68">
        <f>TRUNC(C28*V28*(1-T28)*IF(J28="Oui - niveau 1",1,IF(J28="Oui - niveau 2",1.25,IF(J28="Oui - niveau 3",1.5,0))))</f>
        <v>0</v>
      </c>
      <c r="C28" s="77">
        <v>8</v>
      </c>
      <c r="D28" s="85"/>
      <c r="E28" s="86"/>
      <c r="F28" s="85">
        <f>TRUNC(G28*V28*(1-T28)*IF(L28="Oui - niveau 1",1,IF(L28="Oui - niveau 2",1.25,IF(L28="Oui - niveau 3",1.5,0))))</f>
        <v>0</v>
      </c>
      <c r="G28" s="86">
        <v>4</v>
      </c>
      <c r="H28" s="81">
        <f>TRUNC(I28*V28*(1-T28)*IF(M28="Oui - niveau 1",1,IF(M28="Oui - niveau 2",1.25,IF(M28="Oui - niveau 3",1.5,0))))</f>
        <v>0</v>
      </c>
      <c r="I28" s="69">
        <v>12</v>
      </c>
      <c r="J28" s="47" t="s">
        <v>170</v>
      </c>
      <c r="K28" s="44" t="s">
        <v>165</v>
      </c>
      <c r="L28" s="48" t="s">
        <v>170</v>
      </c>
      <c r="M28" s="49" t="s">
        <v>170</v>
      </c>
      <c r="N28" s="60" t="s">
        <v>170</v>
      </c>
      <c r="O28" s="49" t="s">
        <v>170</v>
      </c>
      <c r="P28" s="49" t="s">
        <v>170</v>
      </c>
      <c r="Q28" s="49" t="s">
        <v>170</v>
      </c>
      <c r="R28" s="41">
        <f t="shared" ref="R28:R34" si="1">IF(Q28="Oui",7,4)</f>
        <v>4</v>
      </c>
      <c r="S28" s="23" t="s">
        <v>106</v>
      </c>
      <c r="T28" s="21">
        <v>0</v>
      </c>
      <c r="U28" s="149">
        <f>(10000+IF(N28="Oui",4000,0)+IF(O28="Oui",8000,0)+IF(P28="Oui",16000,0)+IF(Q28="Oui",20000,0))*V28*(1-T28)</f>
        <v>10000</v>
      </c>
      <c r="V28" s="146">
        <f t="shared" ref="V28:V34" si="2">IF(S28="Possédée",1,IF(S28="Assiégée",0.5,0))</f>
        <v>1</v>
      </c>
    </row>
    <row r="29" spans="1:22" x14ac:dyDescent="0.25">
      <c r="A29" s="4" t="s">
        <v>2</v>
      </c>
      <c r="B29" s="68">
        <f t="shared" ref="B29:B34" si="3">TRUNC(C29*V29*(1-T29)*IF(J29="Oui - niveau 1",1,IF(J29="Oui - niveau 2",1.25,IF(J29="Oui - niveau 3",1.5,0))))</f>
        <v>0</v>
      </c>
      <c r="C29" s="77">
        <v>8</v>
      </c>
      <c r="D29" s="85">
        <f t="shared" ref="D29:D34" si="4">TRUNC(E29*V29*(1-T29)*IF(K29="Oui - niveau 1",1,IF(K29="Oui - niveau 2",1.25,IF(K29="Oui - niveau 3",1.5,0))))</f>
        <v>0</v>
      </c>
      <c r="E29" s="86">
        <v>4</v>
      </c>
      <c r="F29" s="85"/>
      <c r="G29" s="86"/>
      <c r="H29" s="81">
        <f t="shared" ref="H29:H34" si="5">TRUNC(I29*V29*(1-T29)*IF(M29="Oui - niveau 1",1,IF(M29="Oui - niveau 2",1.25,IF(M29="Oui - niveau 3",1.5,0))))</f>
        <v>0</v>
      </c>
      <c r="I29" s="69">
        <v>12</v>
      </c>
      <c r="J29" s="47" t="s">
        <v>170</v>
      </c>
      <c r="K29" s="48" t="s">
        <v>170</v>
      </c>
      <c r="L29" s="44" t="s">
        <v>165</v>
      </c>
      <c r="M29" s="49" t="s">
        <v>170</v>
      </c>
      <c r="N29" s="60" t="s">
        <v>170</v>
      </c>
      <c r="O29" s="49" t="s">
        <v>170</v>
      </c>
      <c r="P29" s="49" t="s">
        <v>170</v>
      </c>
      <c r="Q29" s="49" t="s">
        <v>170</v>
      </c>
      <c r="R29" s="41">
        <f t="shared" si="1"/>
        <v>4</v>
      </c>
      <c r="S29" s="23" t="s">
        <v>106</v>
      </c>
      <c r="T29" s="21">
        <v>0</v>
      </c>
      <c r="U29" s="149">
        <f>(10000+IF(N29="Oui",4000,0)+IF(O29="Oui",8000,0)+IF(P29="Oui",16000,0)+IF(Q29="Oui",20000,0))*V29*(1-T29)</f>
        <v>10000</v>
      </c>
      <c r="V29" s="146">
        <f t="shared" si="2"/>
        <v>1</v>
      </c>
    </row>
    <row r="30" spans="1:22" x14ac:dyDescent="0.25">
      <c r="A30" s="4" t="s">
        <v>3</v>
      </c>
      <c r="B30" s="68">
        <f t="shared" si="3"/>
        <v>0</v>
      </c>
      <c r="C30" s="77">
        <v>8</v>
      </c>
      <c r="D30" s="85">
        <f t="shared" si="4"/>
        <v>0</v>
      </c>
      <c r="E30" s="86">
        <v>4</v>
      </c>
      <c r="F30" s="85"/>
      <c r="G30" s="86"/>
      <c r="H30" s="81">
        <f t="shared" si="5"/>
        <v>0</v>
      </c>
      <c r="I30" s="69">
        <v>12</v>
      </c>
      <c r="J30" s="47" t="s">
        <v>170</v>
      </c>
      <c r="K30" s="48" t="s">
        <v>170</v>
      </c>
      <c r="L30" s="44" t="s">
        <v>165</v>
      </c>
      <c r="M30" s="49" t="s">
        <v>170</v>
      </c>
      <c r="N30" s="60" t="s">
        <v>170</v>
      </c>
      <c r="O30" s="49" t="s">
        <v>170</v>
      </c>
      <c r="P30" s="49" t="s">
        <v>170</v>
      </c>
      <c r="Q30" s="49" t="s">
        <v>170</v>
      </c>
      <c r="R30" s="41">
        <f t="shared" si="1"/>
        <v>4</v>
      </c>
      <c r="S30" s="23" t="s">
        <v>106</v>
      </c>
      <c r="T30" s="21">
        <v>0</v>
      </c>
      <c r="U30" s="149">
        <f>(10000+IF(N30="Oui",4000,0)+IF(O30="Oui",8000,0)+IF(P30="Oui",16000,0)+IF(Q30="Oui",20000,0))*V30*(1-T30)</f>
        <v>10000</v>
      </c>
      <c r="V30" s="146">
        <f t="shared" si="2"/>
        <v>1</v>
      </c>
    </row>
    <row r="31" spans="1:22" x14ac:dyDescent="0.25">
      <c r="A31" s="4" t="s">
        <v>4</v>
      </c>
      <c r="B31" s="68">
        <f t="shared" si="3"/>
        <v>0</v>
      </c>
      <c r="C31" s="77">
        <v>4</v>
      </c>
      <c r="D31" s="85">
        <f t="shared" si="4"/>
        <v>0</v>
      </c>
      <c r="E31" s="86">
        <v>8</v>
      </c>
      <c r="F31" s="85"/>
      <c r="G31" s="86"/>
      <c r="H31" s="81">
        <f t="shared" si="5"/>
        <v>0</v>
      </c>
      <c r="I31" s="69">
        <v>12</v>
      </c>
      <c r="J31" s="47" t="s">
        <v>170</v>
      </c>
      <c r="K31" s="48" t="s">
        <v>170</v>
      </c>
      <c r="L31" s="44" t="s">
        <v>165</v>
      </c>
      <c r="M31" s="49" t="s">
        <v>170</v>
      </c>
      <c r="N31" s="60" t="s">
        <v>170</v>
      </c>
      <c r="O31" s="49" t="s">
        <v>170</v>
      </c>
      <c r="P31" s="49" t="s">
        <v>170</v>
      </c>
      <c r="Q31" s="49" t="s">
        <v>170</v>
      </c>
      <c r="R31" s="41">
        <f t="shared" si="1"/>
        <v>4</v>
      </c>
      <c r="S31" s="23" t="s">
        <v>106</v>
      </c>
      <c r="T31" s="21">
        <v>0</v>
      </c>
      <c r="U31" s="149">
        <f>(10000+IF(N31="Oui",4000,0)+IF(O31="Oui",8000,0)+IF(P31="Oui",16000,0)+IF(Q31="Oui",20000,0))*V31*(1-T31)</f>
        <v>10000</v>
      </c>
      <c r="V31" s="146">
        <f t="shared" si="2"/>
        <v>1</v>
      </c>
    </row>
    <row r="32" spans="1:22" x14ac:dyDescent="0.25">
      <c r="A32" s="4" t="s">
        <v>5</v>
      </c>
      <c r="B32" s="68"/>
      <c r="C32" s="77"/>
      <c r="D32" s="85">
        <f t="shared" si="4"/>
        <v>0</v>
      </c>
      <c r="E32" s="86">
        <v>4</v>
      </c>
      <c r="F32" s="85">
        <f t="shared" ref="F29:F34" si="6">TRUNC(G32*V32*(1-T32)*IF(L32="Oui - niveau 1",1,IF(L32="Oui - niveau 2",1.25,IF(L32="Oui - niveau 3",1.5,0))))</f>
        <v>0</v>
      </c>
      <c r="G32" s="86">
        <v>8</v>
      </c>
      <c r="H32" s="81">
        <f t="shared" si="5"/>
        <v>0</v>
      </c>
      <c r="I32" s="69">
        <v>12</v>
      </c>
      <c r="J32" s="44" t="s">
        <v>165</v>
      </c>
      <c r="K32" s="48" t="s">
        <v>170</v>
      </c>
      <c r="L32" s="48" t="s">
        <v>170</v>
      </c>
      <c r="M32" s="49" t="s">
        <v>170</v>
      </c>
      <c r="N32" s="60" t="s">
        <v>170</v>
      </c>
      <c r="O32" s="49" t="s">
        <v>170</v>
      </c>
      <c r="P32" s="49" t="s">
        <v>170</v>
      </c>
      <c r="Q32" s="49" t="s">
        <v>170</v>
      </c>
      <c r="R32" s="41">
        <f t="shared" si="1"/>
        <v>4</v>
      </c>
      <c r="S32" s="23" t="s">
        <v>106</v>
      </c>
      <c r="T32" s="21">
        <v>0</v>
      </c>
      <c r="U32" s="149">
        <f>(10000+IF(N32="Oui",4000,0)+IF(O32="Oui",8000,0)+IF(P32="Oui",16000,0)+IF(Q32="Oui",20000,0))*V32*(1-T32)</f>
        <v>10000</v>
      </c>
      <c r="V32" s="146">
        <f t="shared" si="2"/>
        <v>1</v>
      </c>
    </row>
    <row r="33" spans="1:22" x14ac:dyDescent="0.25">
      <c r="A33" s="4" t="s">
        <v>6</v>
      </c>
      <c r="B33" s="68">
        <f t="shared" si="3"/>
        <v>0</v>
      </c>
      <c r="C33" s="77">
        <v>4</v>
      </c>
      <c r="D33" s="85">
        <f t="shared" si="4"/>
        <v>0</v>
      </c>
      <c r="E33" s="86">
        <v>8</v>
      </c>
      <c r="F33" s="85"/>
      <c r="G33" s="86"/>
      <c r="H33" s="81">
        <f t="shared" si="5"/>
        <v>0</v>
      </c>
      <c r="I33" s="69">
        <v>12</v>
      </c>
      <c r="J33" s="47" t="s">
        <v>170</v>
      </c>
      <c r="K33" s="48" t="s">
        <v>170</v>
      </c>
      <c r="L33" s="44" t="s">
        <v>165</v>
      </c>
      <c r="M33" s="49" t="s">
        <v>170</v>
      </c>
      <c r="N33" s="60" t="s">
        <v>170</v>
      </c>
      <c r="O33" s="49" t="s">
        <v>170</v>
      </c>
      <c r="P33" s="49" t="s">
        <v>170</v>
      </c>
      <c r="Q33" s="49" t="s">
        <v>170</v>
      </c>
      <c r="R33" s="41">
        <f t="shared" si="1"/>
        <v>4</v>
      </c>
      <c r="S33" s="23" t="s">
        <v>106</v>
      </c>
      <c r="T33" s="21">
        <v>0</v>
      </c>
      <c r="U33" s="149">
        <f>(10000+IF(N33="Oui",4000,0)+IF(O33="Oui",8000,0)+IF(P33="Oui",16000,0)+IF(Q33="Oui",20000,0))*V33*(1-T33)</f>
        <v>10000</v>
      </c>
      <c r="V33" s="146">
        <f t="shared" si="2"/>
        <v>1</v>
      </c>
    </row>
    <row r="34" spans="1:22" ht="15.75" thickBot="1" x14ac:dyDescent="0.3">
      <c r="A34" s="4" t="s">
        <v>7</v>
      </c>
      <c r="B34" s="70">
        <f t="shared" si="3"/>
        <v>0</v>
      </c>
      <c r="C34" s="78">
        <v>8</v>
      </c>
      <c r="D34" s="87">
        <f t="shared" si="4"/>
        <v>0</v>
      </c>
      <c r="E34" s="88">
        <v>4</v>
      </c>
      <c r="F34" s="85"/>
      <c r="G34" s="88"/>
      <c r="H34" s="81">
        <f t="shared" si="5"/>
        <v>0</v>
      </c>
      <c r="I34" s="71">
        <v>12</v>
      </c>
      <c r="J34" s="50" t="s">
        <v>170</v>
      </c>
      <c r="K34" s="51" t="s">
        <v>170</v>
      </c>
      <c r="L34" s="52" t="s">
        <v>165</v>
      </c>
      <c r="M34" s="53" t="s">
        <v>170</v>
      </c>
      <c r="N34" s="61" t="s">
        <v>170</v>
      </c>
      <c r="O34" s="53" t="s">
        <v>170</v>
      </c>
      <c r="P34" s="53" t="s">
        <v>170</v>
      </c>
      <c r="Q34" s="53" t="s">
        <v>170</v>
      </c>
      <c r="R34" s="42">
        <f t="shared" si="1"/>
        <v>4</v>
      </c>
      <c r="S34" s="23" t="s">
        <v>106</v>
      </c>
      <c r="T34" s="21">
        <v>0</v>
      </c>
      <c r="U34" s="149">
        <f>(10000+IF(N34="Oui",4000,0)+IF(O34="Oui",8000,0)+IF(P34="Oui",16000,0)+IF(Q34="Oui",20000,0))*V34*(1-T34)</f>
        <v>10000</v>
      </c>
      <c r="V34" s="146">
        <f t="shared" si="2"/>
        <v>1</v>
      </c>
    </row>
    <row r="35" spans="1:22" ht="15.75" thickBot="1" x14ac:dyDescent="0.3">
      <c r="A35" s="33" t="s">
        <v>20</v>
      </c>
      <c r="B35" s="99" t="str">
        <f>B$26</f>
        <v>Nourriture</v>
      </c>
      <c r="C35" s="100"/>
      <c r="D35" s="101" t="str">
        <f>D$26</f>
        <v>Bois</v>
      </c>
      <c r="E35" s="102"/>
      <c r="F35" s="101" t="str">
        <f t="shared" ref="F35" si="7">F$26</f>
        <v>Fer</v>
      </c>
      <c r="G35" s="102"/>
      <c r="H35" s="100" t="str">
        <f t="shared" ref="H35" si="8">H$26</f>
        <v>Gemmes</v>
      </c>
      <c r="I35" s="103"/>
      <c r="J35" s="6" t="str">
        <f>J$26</f>
        <v>Ferme</v>
      </c>
      <c r="K35" s="6" t="str">
        <f t="shared" ref="K35:Q35" si="9">K$26</f>
        <v>Scierie</v>
      </c>
      <c r="L35" s="6" t="str">
        <f t="shared" si="9"/>
        <v>Mine</v>
      </c>
      <c r="M35" s="36" t="str">
        <f t="shared" si="9"/>
        <v>Guilde Mages</v>
      </c>
      <c r="N35" s="6" t="str">
        <f t="shared" si="9"/>
        <v>Comptoir</v>
      </c>
      <c r="O35" s="6" t="str">
        <f t="shared" si="9"/>
        <v>Marché</v>
      </c>
      <c r="P35" s="6" t="str">
        <f t="shared" si="9"/>
        <v>Banque</v>
      </c>
      <c r="Q35" s="7" t="str">
        <f t="shared" si="9"/>
        <v>Palais</v>
      </c>
      <c r="R35" s="28"/>
      <c r="S35" s="3"/>
      <c r="T35" s="3"/>
      <c r="U35" s="150"/>
      <c r="V35" s="62"/>
    </row>
    <row r="36" spans="1:22" x14ac:dyDescent="0.25">
      <c r="A36" s="4" t="s">
        <v>11</v>
      </c>
      <c r="B36" s="66"/>
      <c r="C36" s="76"/>
      <c r="D36" s="83">
        <f>TRUNC(E36*V36*(1-T36)*IF(K36="Oui - niveau 1",1,IF(K36="Oui - niveau 2",1.25,IF(K36="Oui - niveau 3",1.5,0))))</f>
        <v>0</v>
      </c>
      <c r="E36" s="84">
        <v>8</v>
      </c>
      <c r="F36" s="85">
        <f>TRUNC(G36*V36*(1-T36)*IF(L36="Oui - niveau 1",1,IF(L36="Oui - niveau 2",1.25,IF(L36="Oui - niveau 3",1.5,0))))</f>
        <v>0</v>
      </c>
      <c r="G36" s="84">
        <v>12</v>
      </c>
      <c r="H36" s="81">
        <f>TRUNC(I36*V36*(1-T36)*IF(M36="Oui - niveau 1",1,IF(M36="Oui - niveau 2",1.25,IF(M36="Oui - niveau 3",1.5,0))))</f>
        <v>0</v>
      </c>
      <c r="I36" s="67">
        <v>4</v>
      </c>
      <c r="J36" s="54" t="s">
        <v>165</v>
      </c>
      <c r="K36" s="49"/>
      <c r="L36" s="49"/>
      <c r="M36" s="49"/>
      <c r="N36" s="59"/>
      <c r="O36" s="46"/>
      <c r="P36" s="46"/>
      <c r="Q36" s="46"/>
      <c r="R36" s="40">
        <f>IF(Q36="Oui",7,4)</f>
        <v>4</v>
      </c>
      <c r="S36" s="22" t="s">
        <v>105</v>
      </c>
      <c r="T36" s="20">
        <v>0</v>
      </c>
      <c r="U36" s="148">
        <f>(IF(G$6="Bordeciel",30000,10000)+IF(N36="Oui",4000,0)+IF(O36="Oui",8000,0)+IF(P36="Oui",16000,0)+IF(Q36="Oui",20000,0))*V36*(1-T36)</f>
        <v>0</v>
      </c>
      <c r="V36" s="145">
        <f t="shared" ref="V36:V43" si="10">IF(S36="Possédée",1,IF(S36="Assiégée",0.5,0))</f>
        <v>0</v>
      </c>
    </row>
    <row r="37" spans="1:22" x14ac:dyDescent="0.25">
      <c r="A37" s="4" t="s">
        <v>12</v>
      </c>
      <c r="B37" s="68">
        <f>TRUNC(C37*V37*(1-T37)*IF(J37="Oui - niveau 1",1,IF(J37="Oui - niveau 2",1.25,IF(J37="Oui - niveau 3",1.5,0))))</f>
        <v>0</v>
      </c>
      <c r="C37" s="77">
        <v>4</v>
      </c>
      <c r="D37" s="85">
        <f>TRUNC(E37*V37*(1-T37)*IF(K37="Oui - niveau 1",1,IF(K37="Oui - niveau 2",1.25,IF(K37="Oui - niveau 3",1.5,0))))</f>
        <v>0</v>
      </c>
      <c r="E37" s="86">
        <v>8</v>
      </c>
      <c r="F37" s="85">
        <f>TRUNC(G37*V37*(1-T37)*IF(L37="Oui - niveau 1",1,IF(L37="Oui - niveau 2",1.25,IF(L37="Oui - niveau 3",1.5,0))))</f>
        <v>0</v>
      </c>
      <c r="G37" s="86">
        <v>12</v>
      </c>
      <c r="H37" s="81"/>
      <c r="I37" s="69"/>
      <c r="J37" s="47"/>
      <c r="K37" s="49"/>
      <c r="L37" s="49"/>
      <c r="M37" s="44" t="s">
        <v>165</v>
      </c>
      <c r="N37" s="60"/>
      <c r="O37" s="49"/>
      <c r="P37" s="49"/>
      <c r="Q37" s="49"/>
      <c r="R37" s="41">
        <f t="shared" ref="R37:R43" si="11">IF(Q37="Oui",7,4)</f>
        <v>4</v>
      </c>
      <c r="S37" s="23" t="s">
        <v>105</v>
      </c>
      <c r="T37" s="21">
        <v>0</v>
      </c>
      <c r="U37" s="149">
        <f>(10000+IF(N37="Oui",4000,0)+IF(O37="Oui",8000,0)+IF(P37="Oui",16000,0)+IF(Q37="Oui",20000,0))*V37*(1-T37)</f>
        <v>0</v>
      </c>
      <c r="V37" s="146">
        <f t="shared" si="10"/>
        <v>0</v>
      </c>
    </row>
    <row r="38" spans="1:22" x14ac:dyDescent="0.25">
      <c r="A38" s="4" t="s">
        <v>13</v>
      </c>
      <c r="B38" s="68">
        <f t="shared" ref="B38:B43" si="12">TRUNC(C38*V38*(1-T38)*IF(J38="Oui - niveau 1",1,IF(J38="Oui - niveau 2",1.25,IF(J38="Oui - niveau 3",1.5,0))))</f>
        <v>0</v>
      </c>
      <c r="C38" s="77">
        <v>4</v>
      </c>
      <c r="D38" s="85">
        <f t="shared" ref="D38:D43" si="13">TRUNC(E38*V38*(1-T38)*IF(K38="Oui - niveau 1",1,IF(K38="Oui - niveau 2",1.25,IF(K38="Oui - niveau 3",1.5,0))))</f>
        <v>0</v>
      </c>
      <c r="E38" s="86">
        <v>8</v>
      </c>
      <c r="F38" s="85">
        <f t="shared" ref="F38:F43" si="14">TRUNC(G38*V38*(1-T38)*IF(L38="Oui - niveau 1",1,IF(L38="Oui - niveau 2",1.25,IF(L38="Oui - niveau 3",1.5,0))))</f>
        <v>0</v>
      </c>
      <c r="G38" s="86">
        <v>12</v>
      </c>
      <c r="H38" s="81"/>
      <c r="I38" s="69"/>
      <c r="J38" s="47"/>
      <c r="K38" s="49"/>
      <c r="L38" s="49"/>
      <c r="M38" s="44" t="s">
        <v>165</v>
      </c>
      <c r="N38" s="60"/>
      <c r="O38" s="49"/>
      <c r="P38" s="49"/>
      <c r="Q38" s="49"/>
      <c r="R38" s="41">
        <f t="shared" si="11"/>
        <v>4</v>
      </c>
      <c r="S38" s="23" t="s">
        <v>105</v>
      </c>
      <c r="T38" s="21">
        <v>0</v>
      </c>
      <c r="U38" s="149">
        <f>(10000+IF(N38="Oui",4000,0)+IF(O38="Oui",8000,0)+IF(P38="Oui",16000,0)+IF(Q38="Oui",20000,0))*V38*(1-T38)</f>
        <v>0</v>
      </c>
      <c r="V38" s="146">
        <f t="shared" si="10"/>
        <v>0</v>
      </c>
    </row>
    <row r="39" spans="1:22" x14ac:dyDescent="0.25">
      <c r="A39" s="4" t="s">
        <v>14</v>
      </c>
      <c r="B39" s="68">
        <f t="shared" si="12"/>
        <v>0</v>
      </c>
      <c r="C39" s="77">
        <v>8</v>
      </c>
      <c r="D39" s="85">
        <f t="shared" si="13"/>
        <v>0</v>
      </c>
      <c r="E39" s="86">
        <v>4</v>
      </c>
      <c r="F39" s="85">
        <f t="shared" si="14"/>
        <v>0</v>
      </c>
      <c r="G39" s="86">
        <v>12</v>
      </c>
      <c r="H39" s="81"/>
      <c r="I39" s="69"/>
      <c r="J39" s="47"/>
      <c r="K39" s="49"/>
      <c r="L39" s="49"/>
      <c r="M39" s="44" t="s">
        <v>165</v>
      </c>
      <c r="N39" s="60"/>
      <c r="O39" s="49"/>
      <c r="P39" s="49"/>
      <c r="Q39" s="49"/>
      <c r="R39" s="41">
        <f t="shared" si="11"/>
        <v>4</v>
      </c>
      <c r="S39" s="23" t="s">
        <v>105</v>
      </c>
      <c r="T39" s="21">
        <v>0</v>
      </c>
      <c r="U39" s="149">
        <f>(10000+IF(N39="Oui",4000,0)+IF(O39="Oui",8000,0)+IF(P39="Oui",16000,0)+IF(Q39="Oui",20000,0))*V39*(1-T39)</f>
        <v>0</v>
      </c>
      <c r="V39" s="146">
        <f t="shared" si="10"/>
        <v>0</v>
      </c>
    </row>
    <row r="40" spans="1:22" x14ac:dyDescent="0.25">
      <c r="A40" s="4" t="s">
        <v>15</v>
      </c>
      <c r="B40" s="68">
        <f t="shared" si="12"/>
        <v>0</v>
      </c>
      <c r="C40" s="77">
        <v>8</v>
      </c>
      <c r="D40" s="85">
        <f t="shared" si="13"/>
        <v>0</v>
      </c>
      <c r="E40" s="86">
        <v>4</v>
      </c>
      <c r="F40" s="85">
        <f t="shared" si="14"/>
        <v>0</v>
      </c>
      <c r="G40" s="86">
        <v>12</v>
      </c>
      <c r="H40" s="81"/>
      <c r="I40" s="69"/>
      <c r="J40" s="47"/>
      <c r="K40" s="49"/>
      <c r="L40" s="49"/>
      <c r="M40" s="44" t="s">
        <v>165</v>
      </c>
      <c r="N40" s="60"/>
      <c r="O40" s="49"/>
      <c r="P40" s="49"/>
      <c r="Q40" s="49"/>
      <c r="R40" s="41">
        <f t="shared" si="11"/>
        <v>4</v>
      </c>
      <c r="S40" s="23" t="s">
        <v>105</v>
      </c>
      <c r="T40" s="21">
        <v>0</v>
      </c>
      <c r="U40" s="149">
        <f>(10000+IF(N40="Oui",4000,0)+IF(O40="Oui",8000,0)+IF(P40="Oui",16000,0)+IF(Q40="Oui",20000,0))*V40*(1-T40)</f>
        <v>0</v>
      </c>
      <c r="V40" s="146">
        <f t="shared" si="10"/>
        <v>0</v>
      </c>
    </row>
    <row r="41" spans="1:22" x14ac:dyDescent="0.25">
      <c r="A41" s="4" t="s">
        <v>16</v>
      </c>
      <c r="B41" s="68">
        <f t="shared" si="12"/>
        <v>0</v>
      </c>
      <c r="C41" s="77">
        <v>8</v>
      </c>
      <c r="D41" s="85">
        <f t="shared" si="13"/>
        <v>0</v>
      </c>
      <c r="E41" s="86">
        <v>4</v>
      </c>
      <c r="F41" s="85">
        <f t="shared" si="14"/>
        <v>0</v>
      </c>
      <c r="G41" s="86">
        <v>12</v>
      </c>
      <c r="H41" s="81"/>
      <c r="I41" s="69"/>
      <c r="J41" s="47"/>
      <c r="K41" s="49"/>
      <c r="L41" s="49"/>
      <c r="M41" s="44" t="s">
        <v>165</v>
      </c>
      <c r="N41" s="60"/>
      <c r="O41" s="49"/>
      <c r="P41" s="49"/>
      <c r="Q41" s="49"/>
      <c r="R41" s="41">
        <f t="shared" si="11"/>
        <v>4</v>
      </c>
      <c r="S41" s="23" t="s">
        <v>105</v>
      </c>
      <c r="T41" s="21">
        <v>0</v>
      </c>
      <c r="U41" s="149">
        <f>(10000+IF(N41="Oui",4000,0)+IF(O41="Oui",8000,0)+IF(P41="Oui",16000,0)+IF(Q41="Oui",20000,0))*V41*(1-T41)</f>
        <v>0</v>
      </c>
      <c r="V41" s="146">
        <f t="shared" si="10"/>
        <v>0</v>
      </c>
    </row>
    <row r="42" spans="1:22" x14ac:dyDescent="0.25">
      <c r="A42" s="4" t="s">
        <v>17</v>
      </c>
      <c r="B42" s="68"/>
      <c r="C42" s="77"/>
      <c r="D42" s="85">
        <f t="shared" si="13"/>
        <v>0</v>
      </c>
      <c r="E42" s="86">
        <v>4</v>
      </c>
      <c r="F42" s="85">
        <f t="shared" si="14"/>
        <v>0</v>
      </c>
      <c r="G42" s="86">
        <v>12</v>
      </c>
      <c r="H42" s="81">
        <f t="shared" ref="H42:H43" si="15">TRUNC(I42*V42*(1-T42)*IF(M42="Oui - niveau 1",1,IF(M42="Oui - niveau 2",1.25,IF(M42="Oui - niveau 3",1.5,0))))</f>
        <v>0</v>
      </c>
      <c r="I42" s="69">
        <v>8</v>
      </c>
      <c r="J42" s="44" t="s">
        <v>165</v>
      </c>
      <c r="K42" s="49"/>
      <c r="L42" s="49"/>
      <c r="M42" s="49"/>
      <c r="N42" s="60"/>
      <c r="O42" s="49"/>
      <c r="P42" s="49"/>
      <c r="Q42" s="49"/>
      <c r="R42" s="41">
        <f t="shared" si="11"/>
        <v>4</v>
      </c>
      <c r="S42" s="23" t="s">
        <v>105</v>
      </c>
      <c r="T42" s="21">
        <v>0</v>
      </c>
      <c r="U42" s="149">
        <f>(10000+IF(N42="Oui",4000,0)+IF(O42="Oui",8000,0)+IF(P42="Oui",16000,0)+IF(Q42="Oui",20000,0))*V42*(1-T42)</f>
        <v>0</v>
      </c>
      <c r="V42" s="146">
        <f t="shared" si="10"/>
        <v>0</v>
      </c>
    </row>
    <row r="43" spans="1:22" ht="15.75" thickBot="1" x14ac:dyDescent="0.3">
      <c r="A43" s="4" t="s">
        <v>18</v>
      </c>
      <c r="B43" s="72"/>
      <c r="C43" s="79"/>
      <c r="D43" s="89">
        <f t="shared" si="13"/>
        <v>0</v>
      </c>
      <c r="E43" s="90">
        <v>8</v>
      </c>
      <c r="F43" s="85">
        <f t="shared" si="14"/>
        <v>0</v>
      </c>
      <c r="G43" s="90">
        <v>12</v>
      </c>
      <c r="H43" s="81">
        <f t="shared" si="15"/>
        <v>0</v>
      </c>
      <c r="I43" s="73">
        <v>4</v>
      </c>
      <c r="J43" s="44" t="s">
        <v>165</v>
      </c>
      <c r="K43" s="49"/>
      <c r="L43" s="49"/>
      <c r="M43" s="53"/>
      <c r="N43" s="61"/>
      <c r="O43" s="53"/>
      <c r="P43" s="53"/>
      <c r="Q43" s="53"/>
      <c r="R43" s="42">
        <f t="shared" si="11"/>
        <v>4</v>
      </c>
      <c r="S43" s="23" t="s">
        <v>105</v>
      </c>
      <c r="T43" s="21">
        <v>0</v>
      </c>
      <c r="U43" s="149">
        <f>(10000+IF(N43="Oui",4000,0)+IF(O43="Oui",8000,0)+IF(P43="Oui",16000,0)+IF(Q43="Oui",20000,0))*V43*(1-T43)</f>
        <v>0</v>
      </c>
      <c r="V43" s="146">
        <f t="shared" si="10"/>
        <v>0</v>
      </c>
    </row>
    <row r="44" spans="1:22" ht="15.75" thickBot="1" x14ac:dyDescent="0.3">
      <c r="A44" s="33" t="s">
        <v>21</v>
      </c>
      <c r="B44" s="99" t="str">
        <f>B$26</f>
        <v>Nourriture</v>
      </c>
      <c r="C44" s="100"/>
      <c r="D44" s="101" t="str">
        <f>D$26</f>
        <v>Bois</v>
      </c>
      <c r="E44" s="102"/>
      <c r="F44" s="101" t="str">
        <f t="shared" ref="F44" si="16">F$26</f>
        <v>Fer</v>
      </c>
      <c r="G44" s="102"/>
      <c r="H44" s="100" t="str">
        <f t="shared" ref="H44" si="17">H$26</f>
        <v>Gemmes</v>
      </c>
      <c r="I44" s="103"/>
      <c r="J44" s="6" t="str">
        <f>J$26</f>
        <v>Ferme</v>
      </c>
      <c r="K44" s="6" t="str">
        <f t="shared" ref="K44:Q44" si="18">K$26</f>
        <v>Scierie</v>
      </c>
      <c r="L44" s="6" t="str">
        <f t="shared" si="18"/>
        <v>Mine</v>
      </c>
      <c r="M44" s="36" t="str">
        <f t="shared" si="18"/>
        <v>Guilde Mages</v>
      </c>
      <c r="N44" s="6" t="str">
        <f t="shared" si="18"/>
        <v>Comptoir</v>
      </c>
      <c r="O44" s="6" t="str">
        <f t="shared" si="18"/>
        <v>Marché</v>
      </c>
      <c r="P44" s="6" t="str">
        <f t="shared" si="18"/>
        <v>Banque</v>
      </c>
      <c r="Q44" s="7" t="str">
        <f t="shared" si="18"/>
        <v>Palais</v>
      </c>
      <c r="R44" s="28"/>
      <c r="S44" s="3"/>
      <c r="T44" s="3"/>
      <c r="U44" s="150"/>
      <c r="V44" s="62"/>
    </row>
    <row r="45" spans="1:22" x14ac:dyDescent="0.25">
      <c r="A45" s="4" t="s">
        <v>22</v>
      </c>
      <c r="B45" s="66">
        <f>TRUNC(C45*V45*(1-T45)*IF(J45="Oui - niveau 1",1,IF(J45="Oui - niveau 2",1.25,IF(J45="Oui - niveau 3",1.5,0))))</f>
        <v>0</v>
      </c>
      <c r="C45" s="76">
        <v>12</v>
      </c>
      <c r="D45" s="83">
        <f>TRUNC(E45*V45*(1-T45)*IF(K45="Oui - niveau 1",1,IF(K45="Oui - niveau 2",1.25,IF(K45="Oui - niveau 3",1.5,0))))</f>
        <v>0</v>
      </c>
      <c r="E45" s="84">
        <v>4</v>
      </c>
      <c r="F45" s="85"/>
      <c r="G45" s="84"/>
      <c r="H45" s="81">
        <f>TRUNC(I45*V45*(1-T45)*IF(M45="Oui - niveau 1",1,IF(M45="Oui - niveau 2",1.25,IF(M45="Oui - niveau 3",1.5,0))))</f>
        <v>0</v>
      </c>
      <c r="I45" s="67">
        <v>8</v>
      </c>
      <c r="J45" s="43"/>
      <c r="K45" s="49"/>
      <c r="L45" s="44" t="s">
        <v>165</v>
      </c>
      <c r="M45" s="49"/>
      <c r="N45" s="60"/>
      <c r="O45" s="49"/>
      <c r="P45" s="49"/>
      <c r="Q45" s="49"/>
      <c r="R45" s="40">
        <f>IF(Q45="Oui",7,4)</f>
        <v>4</v>
      </c>
      <c r="S45" s="23" t="s">
        <v>105</v>
      </c>
      <c r="T45" s="21">
        <v>0</v>
      </c>
      <c r="U45" s="148">
        <f>(IF(G$6="Cyrodiil",30000,10000)+IF(N45="Oui",4000,0)+IF(O45="Oui",8000,0)+IF(P45="Oui",16000,0)+IF(Q45="Oui",20000,0))*V45*(1-T45)</f>
        <v>0</v>
      </c>
      <c r="V45" s="146">
        <f t="shared" ref="V45:V53" si="19">IF(S45="Possédée",1,IF(S45="Assiégée",0.5,0))</f>
        <v>0</v>
      </c>
    </row>
    <row r="46" spans="1:22" x14ac:dyDescent="0.25">
      <c r="A46" s="4" t="s">
        <v>24</v>
      </c>
      <c r="B46" s="68">
        <f>TRUNC(C46*V46*(1-T46)*IF(J46="Oui - niveau 1",1,IF(J46="Oui - niveau 2",1.25,IF(J46="Oui - niveau 3",1.5,0))))</f>
        <v>0</v>
      </c>
      <c r="C46" s="77">
        <v>12</v>
      </c>
      <c r="D46" s="85">
        <f>TRUNC(E46*V46*(1-T46)*IF(K46="Oui - niveau 1",1,IF(K46="Oui - niveau 2",1.25,IF(K46="Oui - niveau 3",1.5,0))))</f>
        <v>0</v>
      </c>
      <c r="E46" s="86">
        <v>8</v>
      </c>
      <c r="F46" s="85">
        <f>TRUNC(G46*V46*(1-T46)*IF(L46="Oui - niveau 1",1,IF(L46="Oui - niveau 2",1.25,IF(L46="Oui - niveau 3",1.5,0))))</f>
        <v>0</v>
      </c>
      <c r="G46" s="86">
        <v>4</v>
      </c>
      <c r="H46" s="81"/>
      <c r="I46" s="69"/>
      <c r="J46" s="47"/>
      <c r="K46" s="49"/>
      <c r="L46" s="49"/>
      <c r="M46" s="44" t="s">
        <v>165</v>
      </c>
      <c r="N46" s="60"/>
      <c r="O46" s="49"/>
      <c r="P46" s="49"/>
      <c r="Q46" s="49"/>
      <c r="R46" s="41">
        <f t="shared" ref="R46:R50" si="20">IF(Q46="Oui",7,4)</f>
        <v>4</v>
      </c>
      <c r="S46" s="23" t="s">
        <v>105</v>
      </c>
      <c r="T46" s="21">
        <v>0</v>
      </c>
      <c r="U46" s="149">
        <f>(10000+IF(N46="Oui",4000,0)+IF(O46="Oui",8000,0)+IF(P46="Oui",16000,0)+IF(Q46="Oui",20000,0))*V46*(1-T46)</f>
        <v>0</v>
      </c>
      <c r="V46" s="146">
        <f t="shared" si="19"/>
        <v>0</v>
      </c>
    </row>
    <row r="47" spans="1:22" x14ac:dyDescent="0.25">
      <c r="A47" s="4" t="s">
        <v>23</v>
      </c>
      <c r="B47" s="68">
        <f t="shared" ref="B47:B52" si="21">TRUNC(C47*V47*(1-T47)*IF(J47="Oui - niveau 1",1,IF(J47="Oui - niveau 2",1.25,IF(J47="Oui - niveau 3",1.5,0))))</f>
        <v>0</v>
      </c>
      <c r="C47" s="77">
        <v>12</v>
      </c>
      <c r="D47" s="85">
        <f t="shared" ref="D47:D53" si="22">TRUNC(E47*V47*(1-T47)*IF(K47="Oui - niveau 1",1,IF(K47="Oui - niveau 2",1.25,IF(K47="Oui - niveau 3",1.5,0))))</f>
        <v>0</v>
      </c>
      <c r="E47" s="86">
        <v>4</v>
      </c>
      <c r="F47" s="85">
        <f t="shared" ref="F47:F50" si="23">TRUNC(G47*V47*(1-T47)*IF(L47="Oui - niveau 1",1,IF(L47="Oui - niveau 2",1.25,IF(L47="Oui - niveau 3",1.5,0))))</f>
        <v>0</v>
      </c>
      <c r="G47" s="86">
        <v>8</v>
      </c>
      <c r="H47" s="81"/>
      <c r="I47" s="69"/>
      <c r="J47" s="47"/>
      <c r="K47" s="49"/>
      <c r="L47" s="49"/>
      <c r="M47" s="44" t="s">
        <v>165</v>
      </c>
      <c r="N47" s="60"/>
      <c r="O47" s="49"/>
      <c r="P47" s="49"/>
      <c r="Q47" s="49"/>
      <c r="R47" s="41">
        <f t="shared" si="20"/>
        <v>4</v>
      </c>
      <c r="S47" s="23" t="s">
        <v>105</v>
      </c>
      <c r="T47" s="21">
        <v>0</v>
      </c>
      <c r="U47" s="149">
        <f>(10000+IF(N47="Oui",4000,0)+IF(O47="Oui",8000,0)+IF(P47="Oui",16000,0)+IF(Q47="Oui",20000,0))*V47*(1-T47)</f>
        <v>0</v>
      </c>
      <c r="V47" s="146">
        <f t="shared" si="19"/>
        <v>0</v>
      </c>
    </row>
    <row r="48" spans="1:22" x14ac:dyDescent="0.25">
      <c r="A48" s="4" t="s">
        <v>25</v>
      </c>
      <c r="B48" s="68">
        <f t="shared" si="21"/>
        <v>0</v>
      </c>
      <c r="C48" s="77">
        <v>12</v>
      </c>
      <c r="D48" s="85">
        <f t="shared" si="22"/>
        <v>0</v>
      </c>
      <c r="E48" s="86">
        <v>8</v>
      </c>
      <c r="F48" s="85"/>
      <c r="G48" s="86"/>
      <c r="H48" s="81">
        <f t="shared" ref="H48:H53" si="24">TRUNC(I48*V48*(1-T48)*IF(M48="Oui - niveau 1",1,IF(M48="Oui - niveau 2",1.25,IF(M48="Oui - niveau 3",1.5,0))))</f>
        <v>0</v>
      </c>
      <c r="I48" s="69">
        <v>4</v>
      </c>
      <c r="J48" s="47"/>
      <c r="K48" s="49"/>
      <c r="L48" s="44" t="s">
        <v>165</v>
      </c>
      <c r="M48" s="49"/>
      <c r="N48" s="60"/>
      <c r="O48" s="49"/>
      <c r="P48" s="49"/>
      <c r="Q48" s="49"/>
      <c r="R48" s="41">
        <f t="shared" si="20"/>
        <v>4</v>
      </c>
      <c r="S48" s="23" t="s">
        <v>105</v>
      </c>
      <c r="T48" s="21">
        <v>0</v>
      </c>
      <c r="U48" s="149">
        <f>(10000+IF(N48="Oui",4000,0)+IF(O48="Oui",8000,0)+IF(P48="Oui",16000,0)+IF(Q48="Oui",20000,0))*V48*(1-T48)</f>
        <v>0</v>
      </c>
      <c r="V48" s="146">
        <f t="shared" si="19"/>
        <v>0</v>
      </c>
    </row>
    <row r="49" spans="1:22" x14ac:dyDescent="0.25">
      <c r="A49" s="4" t="s">
        <v>26</v>
      </c>
      <c r="B49" s="68">
        <f t="shared" si="21"/>
        <v>0</v>
      </c>
      <c r="C49" s="77">
        <v>12</v>
      </c>
      <c r="D49" s="85">
        <f t="shared" si="22"/>
        <v>0</v>
      </c>
      <c r="E49" s="86">
        <v>8</v>
      </c>
      <c r="F49" s="85"/>
      <c r="G49" s="86"/>
      <c r="H49" s="81">
        <f t="shared" si="24"/>
        <v>0</v>
      </c>
      <c r="I49" s="69">
        <v>4</v>
      </c>
      <c r="J49" s="47"/>
      <c r="K49" s="49"/>
      <c r="L49" s="44" t="s">
        <v>165</v>
      </c>
      <c r="M49" s="49"/>
      <c r="N49" s="60"/>
      <c r="O49" s="49"/>
      <c r="P49" s="49"/>
      <c r="Q49" s="49"/>
      <c r="R49" s="41">
        <f t="shared" si="20"/>
        <v>4</v>
      </c>
      <c r="S49" s="23" t="s">
        <v>105</v>
      </c>
      <c r="T49" s="21">
        <v>0</v>
      </c>
      <c r="U49" s="149">
        <f>(10000+IF(N49="Oui",4000,0)+IF(O49="Oui",8000,0)+IF(P49="Oui",16000,0)+IF(Q49="Oui",20000,0))*V49*(1-T49)</f>
        <v>0</v>
      </c>
      <c r="V49" s="146">
        <f t="shared" si="19"/>
        <v>0</v>
      </c>
    </row>
    <row r="50" spans="1:22" x14ac:dyDescent="0.25">
      <c r="A50" s="4" t="s">
        <v>55</v>
      </c>
      <c r="B50" s="68">
        <f t="shared" si="21"/>
        <v>0</v>
      </c>
      <c r="C50" s="77">
        <v>12</v>
      </c>
      <c r="D50" s="85"/>
      <c r="E50" s="86"/>
      <c r="F50" s="85">
        <f t="shared" si="23"/>
        <v>0</v>
      </c>
      <c r="G50" s="86">
        <v>4</v>
      </c>
      <c r="H50" s="81">
        <f t="shared" si="24"/>
        <v>0</v>
      </c>
      <c r="I50" s="69">
        <v>4</v>
      </c>
      <c r="J50" s="47"/>
      <c r="K50" s="44" t="s">
        <v>165</v>
      </c>
      <c r="L50" s="49"/>
      <c r="M50" s="49"/>
      <c r="N50" s="60"/>
      <c r="O50" s="49"/>
      <c r="P50" s="49"/>
      <c r="Q50" s="49"/>
      <c r="R50" s="41">
        <f t="shared" si="20"/>
        <v>4</v>
      </c>
      <c r="S50" s="23" t="s">
        <v>105</v>
      </c>
      <c r="T50" s="21">
        <v>0</v>
      </c>
      <c r="U50" s="149">
        <f>(10000+IF(N50="Oui",4000,0)+IF(O50="Oui",8000,0)+IF(P50="Oui",16000,0)+IF(Q50="Oui",20000,0))*V50*(1-T50)</f>
        <v>0</v>
      </c>
      <c r="V50" s="146">
        <f t="shared" si="19"/>
        <v>0</v>
      </c>
    </row>
    <row r="51" spans="1:22" x14ac:dyDescent="0.25">
      <c r="A51" s="4" t="s">
        <v>27</v>
      </c>
      <c r="B51" s="68">
        <f t="shared" si="21"/>
        <v>0</v>
      </c>
      <c r="C51" s="77">
        <v>12</v>
      </c>
      <c r="D51" s="85">
        <f t="shared" si="22"/>
        <v>0</v>
      </c>
      <c r="E51" s="86">
        <v>4</v>
      </c>
      <c r="F51" s="85"/>
      <c r="G51" s="86"/>
      <c r="H51" s="81">
        <f t="shared" si="24"/>
        <v>0</v>
      </c>
      <c r="I51" s="69">
        <v>8</v>
      </c>
      <c r="J51" s="47"/>
      <c r="K51" s="49"/>
      <c r="L51" s="44" t="s">
        <v>165</v>
      </c>
      <c r="M51" s="49"/>
      <c r="N51" s="60"/>
      <c r="O51" s="49"/>
      <c r="P51" s="49"/>
      <c r="Q51" s="49"/>
      <c r="R51" s="41">
        <f>IF(Q51="Oui",7,4)</f>
        <v>4</v>
      </c>
      <c r="S51" s="23" t="s">
        <v>105</v>
      </c>
      <c r="T51" s="21">
        <v>0</v>
      </c>
      <c r="U51" s="149">
        <f>(10000+IF(N51="Oui",4000,0)+IF(O51="Oui",8000,0)+IF(P51="Oui",16000,0)+IF(Q51="Oui",20000,0))*V51*(1-T51)</f>
        <v>0</v>
      </c>
      <c r="V51" s="146">
        <f t="shared" si="19"/>
        <v>0</v>
      </c>
    </row>
    <row r="52" spans="1:22" x14ac:dyDescent="0.25">
      <c r="A52" s="4" t="s">
        <v>28</v>
      </c>
      <c r="B52" s="68">
        <f t="shared" si="21"/>
        <v>0</v>
      </c>
      <c r="C52" s="77">
        <v>12</v>
      </c>
      <c r="D52" s="85">
        <f t="shared" si="22"/>
        <v>0</v>
      </c>
      <c r="E52" s="86">
        <v>8</v>
      </c>
      <c r="F52" s="85"/>
      <c r="G52" s="86"/>
      <c r="H52" s="81">
        <f t="shared" si="24"/>
        <v>0</v>
      </c>
      <c r="I52" s="69">
        <v>4</v>
      </c>
      <c r="J52" s="47"/>
      <c r="K52" s="49"/>
      <c r="L52" s="44" t="s">
        <v>165</v>
      </c>
      <c r="M52" s="49"/>
      <c r="N52" s="60"/>
      <c r="O52" s="49"/>
      <c r="P52" s="49"/>
      <c r="Q52" s="49"/>
      <c r="R52" s="41">
        <f>IF(Q52="Oui",7,4)</f>
        <v>4</v>
      </c>
      <c r="S52" s="23" t="s">
        <v>105</v>
      </c>
      <c r="T52" s="21">
        <v>0</v>
      </c>
      <c r="U52" s="149">
        <f>(10000+IF(N52="Oui",4000,0)+IF(O52="Oui",8000,0)+IF(P52="Oui",16000,0)+IF(Q52="Oui",20000,0))*V52*(1-T52)</f>
        <v>0</v>
      </c>
      <c r="V52" s="146">
        <f t="shared" si="19"/>
        <v>0</v>
      </c>
    </row>
    <row r="53" spans="1:22" ht="15.75" thickBot="1" x14ac:dyDescent="0.3">
      <c r="A53" s="4" t="s">
        <v>29</v>
      </c>
      <c r="B53" s="72">
        <f>TRUNC(C53*V53*(1-T53)*IF(J53="Oui - niveau 1",1,IF(J53="Oui - niveau 2",1.25,IF(J53="Oui - niveau 3",1.5,0))))</f>
        <v>0</v>
      </c>
      <c r="C53" s="79">
        <v>12</v>
      </c>
      <c r="D53" s="89">
        <f t="shared" si="22"/>
        <v>0</v>
      </c>
      <c r="E53" s="90">
        <v>8</v>
      </c>
      <c r="F53" s="85"/>
      <c r="G53" s="90"/>
      <c r="H53" s="81">
        <f t="shared" si="24"/>
        <v>0</v>
      </c>
      <c r="I53" s="73">
        <v>4</v>
      </c>
      <c r="J53" s="50"/>
      <c r="K53" s="53"/>
      <c r="L53" s="44" t="s">
        <v>165</v>
      </c>
      <c r="M53" s="53"/>
      <c r="N53" s="61"/>
      <c r="O53" s="53"/>
      <c r="P53" s="53"/>
      <c r="Q53" s="53"/>
      <c r="R53" s="42">
        <f>IF(Q53="Oui",7,4)</f>
        <v>4</v>
      </c>
      <c r="S53" s="23" t="s">
        <v>105</v>
      </c>
      <c r="T53" s="21">
        <v>0</v>
      </c>
      <c r="U53" s="149">
        <f>(10000+IF(N53="Oui",4000,0)+IF(O53="Oui",8000,0)+IF(P53="Oui",16000,0)+IF(Q53="Oui",20000,0))*V53*(1-T53)</f>
        <v>0</v>
      </c>
      <c r="V53" s="146">
        <f t="shared" si="19"/>
        <v>0</v>
      </c>
    </row>
    <row r="54" spans="1:22" ht="15.75" thickBot="1" x14ac:dyDescent="0.3">
      <c r="A54" s="33" t="s">
        <v>30</v>
      </c>
      <c r="B54" s="99" t="str">
        <f>B$26</f>
        <v>Nourriture</v>
      </c>
      <c r="C54" s="100"/>
      <c r="D54" s="101" t="str">
        <f>D$26</f>
        <v>Bois</v>
      </c>
      <c r="E54" s="102"/>
      <c r="F54" s="101" t="str">
        <f t="shared" ref="F54" si="25">F$26</f>
        <v>Fer</v>
      </c>
      <c r="G54" s="102"/>
      <c r="H54" s="100" t="str">
        <f t="shared" ref="H54" si="26">H$26</f>
        <v>Gemmes</v>
      </c>
      <c r="I54" s="103"/>
      <c r="J54" s="6" t="str">
        <f>J$26</f>
        <v>Ferme</v>
      </c>
      <c r="K54" s="6" t="str">
        <f t="shared" ref="K54:Q54" si="27">K$26</f>
        <v>Scierie</v>
      </c>
      <c r="L54" s="6" t="str">
        <f t="shared" si="27"/>
        <v>Mine</v>
      </c>
      <c r="M54" s="36" t="str">
        <f t="shared" si="27"/>
        <v>Guilde Mages</v>
      </c>
      <c r="N54" s="6" t="str">
        <f t="shared" si="27"/>
        <v>Comptoir</v>
      </c>
      <c r="O54" s="6" t="str">
        <f t="shared" si="27"/>
        <v>Marché</v>
      </c>
      <c r="P54" s="6" t="str">
        <f t="shared" si="27"/>
        <v>Banque</v>
      </c>
      <c r="Q54" s="6" t="str">
        <f t="shared" si="27"/>
        <v>Palais</v>
      </c>
      <c r="R54" s="28"/>
      <c r="S54" s="3"/>
      <c r="T54" s="3"/>
      <c r="U54" s="150"/>
      <c r="V54" s="62"/>
    </row>
    <row r="55" spans="1:22" x14ac:dyDescent="0.25">
      <c r="A55" s="4" t="s">
        <v>31</v>
      </c>
      <c r="B55" s="66">
        <f>TRUNC(C55*V55*(1-T55)*IF(J55="Oui - niveau 1",1,IF(J55="Oui - niveau 2",1.25,IF(J55="Oui - niveau 3",1.5,0))))</f>
        <v>0</v>
      </c>
      <c r="C55" s="76">
        <v>4</v>
      </c>
      <c r="D55" s="83">
        <f>TRUNC(E55*V55*(1-T55)*IF(K55="Oui - niveau 1",1,IF(K55="Oui - niveau 2",1.25,IF(K55="Oui - niveau 3",1.5,0))))</f>
        <v>0</v>
      </c>
      <c r="E55" s="84">
        <v>12</v>
      </c>
      <c r="F55" s="85"/>
      <c r="G55" s="84"/>
      <c r="H55" s="81">
        <f>TRUNC(I55*V55*(1-T55)*IF(M55="Oui - niveau 1",1,IF(M55="Oui - niveau 2",1.25,IF(M55="Oui - niveau 3",1.5,0))))</f>
        <v>0</v>
      </c>
      <c r="I55" s="67">
        <v>8</v>
      </c>
      <c r="J55" s="43"/>
      <c r="K55" s="49"/>
      <c r="L55" s="44" t="s">
        <v>165</v>
      </c>
      <c r="M55" s="49"/>
      <c r="N55" s="59"/>
      <c r="O55" s="46"/>
      <c r="P55" s="46"/>
      <c r="Q55" s="46"/>
      <c r="R55" s="40">
        <f>IF(Q55="Oui",7,4)</f>
        <v>4</v>
      </c>
      <c r="S55" s="23" t="s">
        <v>105</v>
      </c>
      <c r="T55" s="20">
        <v>0</v>
      </c>
      <c r="U55" s="148">
        <f>(IF(G$6="Elsweyr",30000,10000)+IF(N55="Oui",4000,0)+IF(O55="Oui",8000,0)+IF(P55="Oui",16000,0)+IF(Q55="Oui",20000,0))*V55*(1-T55)</f>
        <v>0</v>
      </c>
      <c r="V55" s="145">
        <f t="shared" ref="V55:V61" si="28">IF(S55="Possédée",1,IF(S55="Assiégée",0.5,0))</f>
        <v>0</v>
      </c>
    </row>
    <row r="56" spans="1:22" x14ac:dyDescent="0.25">
      <c r="A56" s="4" t="s">
        <v>32</v>
      </c>
      <c r="B56" s="68"/>
      <c r="C56" s="77"/>
      <c r="D56" s="85">
        <f>TRUNC(E56*V56*(1-T56)*IF(K56="Oui - niveau 1",1,IF(K56="Oui - niveau 2",1.25,IF(K56="Oui - niveau 3",1.5,0))))</f>
        <v>0</v>
      </c>
      <c r="E56" s="86">
        <v>12</v>
      </c>
      <c r="F56" s="85">
        <f>TRUNC(G56*V56*(1-T56)*IF(L56="Oui - niveau 1",1,IF(L56="Oui - niveau 2",1.25,IF(L56="Oui - niveau 3",1.5,0))))</f>
        <v>0</v>
      </c>
      <c r="G56" s="86">
        <v>4</v>
      </c>
      <c r="H56" s="81">
        <f>TRUNC(I56*V56*(1-T56)*IF(M56="Oui - niveau 1",1,IF(M56="Oui - niveau 2",1.25,IF(M56="Oui - niveau 3",1.5,0))))</f>
        <v>0</v>
      </c>
      <c r="I56" s="69">
        <v>8</v>
      </c>
      <c r="J56" s="44" t="s">
        <v>165</v>
      </c>
      <c r="K56" s="49"/>
      <c r="L56" s="49"/>
      <c r="M56" s="49"/>
      <c r="N56" s="60"/>
      <c r="O56" s="49"/>
      <c r="P56" s="49"/>
      <c r="Q56" s="49"/>
      <c r="R56" s="41">
        <f t="shared" ref="R56:R60" si="29">IF(Q56="Oui",7,4)</f>
        <v>4</v>
      </c>
      <c r="S56" s="23" t="s">
        <v>105</v>
      </c>
      <c r="T56" s="21">
        <v>0</v>
      </c>
      <c r="U56" s="149">
        <f>(10000+IF(N56="Oui",4000,0)+IF(O56="Oui",8000,0)+IF(P56="Oui",16000,0)+IF(Q56="Oui",20000,0))*V56*(1-T56)</f>
        <v>0</v>
      </c>
      <c r="V56" s="146">
        <f t="shared" si="28"/>
        <v>0</v>
      </c>
    </row>
    <row r="57" spans="1:22" x14ac:dyDescent="0.25">
      <c r="A57" s="4" t="s">
        <v>33</v>
      </c>
      <c r="B57" s="68"/>
      <c r="C57" s="77"/>
      <c r="D57" s="85">
        <f t="shared" ref="D57:D61" si="30">TRUNC(E57*V57*(1-T57)*IF(K57="Oui - niveau 1",1,IF(K57="Oui - niveau 2",1.25,IF(K57="Oui - niveau 3",1.5,0))))</f>
        <v>0</v>
      </c>
      <c r="E57" s="86">
        <v>12</v>
      </c>
      <c r="F57" s="85">
        <f t="shared" ref="F57:F60" si="31">TRUNC(G57*V57*(1-T57)*IF(L57="Oui - niveau 1",1,IF(L57="Oui - niveau 2",1.25,IF(L57="Oui - niveau 3",1.5,0))))</f>
        <v>0</v>
      </c>
      <c r="G57" s="86">
        <v>8</v>
      </c>
      <c r="H57" s="81">
        <f t="shared" ref="H57:H59" si="32">TRUNC(I57*V57*(1-T57)*IF(M57="Oui - niveau 1",1,IF(M57="Oui - niveau 2",1.25,IF(M57="Oui - niveau 3",1.5,0))))</f>
        <v>0</v>
      </c>
      <c r="I57" s="69">
        <v>4</v>
      </c>
      <c r="J57" s="44" t="s">
        <v>165</v>
      </c>
      <c r="K57" s="49"/>
      <c r="L57" s="49"/>
      <c r="M57" s="49"/>
      <c r="N57" s="60"/>
      <c r="O57" s="49"/>
      <c r="P57" s="49"/>
      <c r="Q57" s="49"/>
      <c r="R57" s="41">
        <f t="shared" si="29"/>
        <v>4</v>
      </c>
      <c r="S57" s="23" t="s">
        <v>105</v>
      </c>
      <c r="T57" s="21">
        <v>0</v>
      </c>
      <c r="U57" s="149">
        <f>(10000+IF(N57="Oui",4000,0)+IF(O57="Oui",8000,0)+IF(P57="Oui",16000,0)+IF(Q57="Oui",20000,0))*V57*(1-T57)</f>
        <v>0</v>
      </c>
      <c r="V57" s="146">
        <f t="shared" si="28"/>
        <v>0</v>
      </c>
    </row>
    <row r="58" spans="1:22" x14ac:dyDescent="0.25">
      <c r="A58" s="4" t="s">
        <v>34</v>
      </c>
      <c r="B58" s="68"/>
      <c r="C58" s="77"/>
      <c r="D58" s="85">
        <f t="shared" si="30"/>
        <v>0</v>
      </c>
      <c r="E58" s="86">
        <v>12</v>
      </c>
      <c r="F58" s="85">
        <f t="shared" si="31"/>
        <v>0</v>
      </c>
      <c r="G58" s="86">
        <v>8</v>
      </c>
      <c r="H58" s="81">
        <f t="shared" si="32"/>
        <v>0</v>
      </c>
      <c r="I58" s="69">
        <v>4</v>
      </c>
      <c r="J58" s="44" t="s">
        <v>165</v>
      </c>
      <c r="K58" s="49"/>
      <c r="L58" s="49"/>
      <c r="M58" s="49"/>
      <c r="N58" s="60"/>
      <c r="O58" s="49"/>
      <c r="P58" s="49"/>
      <c r="Q58" s="49"/>
      <c r="R58" s="41">
        <f t="shared" si="29"/>
        <v>4</v>
      </c>
      <c r="S58" s="23" t="s">
        <v>105</v>
      </c>
      <c r="T58" s="21">
        <v>0</v>
      </c>
      <c r="U58" s="149">
        <f>(10000+IF(N58="Oui",4000,0)+IF(O58="Oui",8000,0)+IF(P58="Oui",16000,0)+IF(Q58="Oui",20000,0))*V58*(1-T58)</f>
        <v>0</v>
      </c>
      <c r="V58" s="146">
        <f t="shared" si="28"/>
        <v>0</v>
      </c>
    </row>
    <row r="59" spans="1:22" x14ac:dyDescent="0.25">
      <c r="A59" s="4" t="s">
        <v>35</v>
      </c>
      <c r="B59" s="68"/>
      <c r="C59" s="77"/>
      <c r="D59" s="85">
        <f t="shared" si="30"/>
        <v>0</v>
      </c>
      <c r="E59" s="86">
        <v>12</v>
      </c>
      <c r="F59" s="85">
        <f t="shared" si="31"/>
        <v>0</v>
      </c>
      <c r="G59" s="86">
        <v>8</v>
      </c>
      <c r="H59" s="81">
        <f t="shared" si="32"/>
        <v>0</v>
      </c>
      <c r="I59" s="69">
        <v>4</v>
      </c>
      <c r="J59" s="44" t="s">
        <v>165</v>
      </c>
      <c r="K59" s="49"/>
      <c r="L59" s="49"/>
      <c r="M59" s="49"/>
      <c r="N59" s="60"/>
      <c r="O59" s="49"/>
      <c r="P59" s="49"/>
      <c r="Q59" s="49"/>
      <c r="R59" s="41">
        <f t="shared" si="29"/>
        <v>4</v>
      </c>
      <c r="S59" s="23" t="s">
        <v>105</v>
      </c>
      <c r="T59" s="21">
        <v>0</v>
      </c>
      <c r="U59" s="149">
        <f>(10000+IF(N59="Oui",4000,0)+IF(O59="Oui",8000,0)+IF(P59="Oui",16000,0)+IF(Q59="Oui",20000,0))*V59*(1-T59)</f>
        <v>0</v>
      </c>
      <c r="V59" s="146">
        <f t="shared" si="28"/>
        <v>0</v>
      </c>
    </row>
    <row r="60" spans="1:22" x14ac:dyDescent="0.25">
      <c r="A60" s="4" t="s">
        <v>36</v>
      </c>
      <c r="B60" s="68">
        <f t="shared" ref="B60:B61" si="33">TRUNC(C60*V60*(1-T60)*IF(J60="Oui - niveau 1",1,IF(J60="Oui - niveau 2",1.25,IF(J60="Oui - niveau 3",1.5,0))))</f>
        <v>0</v>
      </c>
      <c r="C60" s="77">
        <v>4</v>
      </c>
      <c r="D60" s="85">
        <f t="shared" si="30"/>
        <v>0</v>
      </c>
      <c r="E60" s="86">
        <v>12</v>
      </c>
      <c r="F60" s="85">
        <f t="shared" si="31"/>
        <v>0</v>
      </c>
      <c r="G60" s="86">
        <v>8</v>
      </c>
      <c r="H60" s="81"/>
      <c r="I60" s="69"/>
      <c r="J60" s="47"/>
      <c r="K60" s="49"/>
      <c r="L60" s="49"/>
      <c r="M60" s="44" t="s">
        <v>165</v>
      </c>
      <c r="N60" s="60"/>
      <c r="O60" s="49"/>
      <c r="P60" s="49"/>
      <c r="Q60" s="49"/>
      <c r="R60" s="41">
        <f t="shared" si="29"/>
        <v>4</v>
      </c>
      <c r="S60" s="23" t="s">
        <v>105</v>
      </c>
      <c r="T60" s="21">
        <v>0</v>
      </c>
      <c r="U60" s="149">
        <f>(10000+IF(N60="Oui",4000,0)+IF(O60="Oui",8000,0)+IF(P60="Oui",16000,0)+IF(Q60="Oui",20000,0))*V60*(1-T60)</f>
        <v>0</v>
      </c>
      <c r="V60" s="146">
        <f t="shared" si="28"/>
        <v>0</v>
      </c>
    </row>
    <row r="61" spans="1:22" ht="15.75" thickBot="1" x14ac:dyDescent="0.3">
      <c r="A61" s="4" t="s">
        <v>37</v>
      </c>
      <c r="B61" s="72">
        <f t="shared" si="33"/>
        <v>0</v>
      </c>
      <c r="C61" s="79">
        <v>8</v>
      </c>
      <c r="D61" s="89">
        <f t="shared" si="30"/>
        <v>0</v>
      </c>
      <c r="E61" s="90">
        <v>12</v>
      </c>
      <c r="F61" s="85"/>
      <c r="G61" s="90"/>
      <c r="H61" s="81">
        <f>TRUNC(I61*V61*(1-T61)*IF(M61="Oui - niveau 1",1,IF(M61="Oui - niveau 2",1.25,IF(M61="Oui - niveau 3",1.5,0))))</f>
        <v>0</v>
      </c>
      <c r="I61" s="73">
        <v>4</v>
      </c>
      <c r="J61" s="47"/>
      <c r="K61" s="49"/>
      <c r="L61" s="44" t="s">
        <v>165</v>
      </c>
      <c r="M61" s="49"/>
      <c r="N61" s="60"/>
      <c r="O61" s="49"/>
      <c r="P61" s="49"/>
      <c r="Q61" s="49"/>
      <c r="R61" s="41">
        <f>IF(Q61="Oui",7,4)</f>
        <v>4</v>
      </c>
      <c r="S61" s="23" t="s">
        <v>105</v>
      </c>
      <c r="T61" s="21">
        <v>0</v>
      </c>
      <c r="U61" s="149">
        <f>(10000+IF(N61="Oui",4000,0)+IF(O61="Oui",8000,0)+IF(P61="Oui",16000,0)+IF(Q61="Oui",20000,0))*V61*(1-T61)</f>
        <v>0</v>
      </c>
      <c r="V61" s="146">
        <f t="shared" si="28"/>
        <v>0</v>
      </c>
    </row>
    <row r="62" spans="1:22" ht="15.75" thickBot="1" x14ac:dyDescent="0.3">
      <c r="A62" s="33" t="s">
        <v>38</v>
      </c>
      <c r="B62" s="99" t="str">
        <f>B$26</f>
        <v>Nourriture</v>
      </c>
      <c r="C62" s="100"/>
      <c r="D62" s="101" t="str">
        <f>D$26</f>
        <v>Bois</v>
      </c>
      <c r="E62" s="102"/>
      <c r="F62" s="101" t="str">
        <f t="shared" ref="F62" si="34">F$26</f>
        <v>Fer</v>
      </c>
      <c r="G62" s="102"/>
      <c r="H62" s="100" t="str">
        <f t="shared" ref="H62" si="35">H$26</f>
        <v>Gemmes</v>
      </c>
      <c r="I62" s="103"/>
      <c r="J62" s="6" t="str">
        <f>J$26</f>
        <v>Ferme</v>
      </c>
      <c r="K62" s="6" t="str">
        <f t="shared" ref="K62:Q62" si="36">K$26</f>
        <v>Scierie</v>
      </c>
      <c r="L62" s="6" t="str">
        <f t="shared" si="36"/>
        <v>Mine</v>
      </c>
      <c r="M62" s="36" t="str">
        <f t="shared" si="36"/>
        <v>Guilde Mages</v>
      </c>
      <c r="N62" s="6" t="str">
        <f t="shared" si="36"/>
        <v>Comptoir</v>
      </c>
      <c r="O62" s="6" t="str">
        <f t="shared" si="36"/>
        <v>Marché</v>
      </c>
      <c r="P62" s="6" t="str">
        <f t="shared" si="36"/>
        <v>Banque</v>
      </c>
      <c r="Q62" s="6" t="str">
        <f t="shared" si="36"/>
        <v>Palais</v>
      </c>
      <c r="R62" s="28"/>
      <c r="S62" s="3"/>
      <c r="T62" s="3"/>
      <c r="U62" s="150"/>
      <c r="V62" s="62"/>
    </row>
    <row r="63" spans="1:22" x14ac:dyDescent="0.25">
      <c r="A63" s="4" t="s">
        <v>39</v>
      </c>
      <c r="B63" s="66">
        <f>TRUNC(C63*V63*(1-T63)*IF(J63="Oui - niveau 1",1,IF(J63="Oui - niveau 2",1.25,IF(J63="Oui - niveau 3",1.5,0))))</f>
        <v>0</v>
      </c>
      <c r="C63" s="76">
        <v>4</v>
      </c>
      <c r="D63" s="83">
        <f>TRUNC(E63*V63*(1-T63)*IF(K63="Oui - niveau 1",1,IF(K63="Oui - niveau 2",1.25,IF(K63="Oui - niveau 3",1.5,0))))</f>
        <v>0</v>
      </c>
      <c r="E63" s="84">
        <v>8</v>
      </c>
      <c r="F63" s="85"/>
      <c r="G63" s="84"/>
      <c r="H63" s="81">
        <f>TRUNC(I63*V63*(1-T63)*IF(M63="Oui - niveau 1",1,IF(M63="Oui - niveau 2",1.25,IF(M63="Oui - niveau 3",1.5,0))))</f>
        <v>0</v>
      </c>
      <c r="I63" s="67">
        <v>12</v>
      </c>
      <c r="J63" s="43"/>
      <c r="K63" s="49"/>
      <c r="L63" s="44" t="s">
        <v>165</v>
      </c>
      <c r="M63" s="49"/>
      <c r="N63" s="59"/>
      <c r="O63" s="46"/>
      <c r="P63" s="46"/>
      <c r="Q63" s="46"/>
      <c r="R63" s="40">
        <f>IF(Q63="Oui",7,4)</f>
        <v>4</v>
      </c>
      <c r="S63" s="23" t="s">
        <v>105</v>
      </c>
      <c r="T63" s="20">
        <v>0</v>
      </c>
      <c r="U63" s="148">
        <f>(IF(G$6="Hauteroche",30000,10000)+IF(N63="Oui",4000,0)+IF(O63="Oui",8000,0)+IF(P63="Oui",16000,0)+IF(Q63="Oui",20000,0))*V63*(1-T63)</f>
        <v>0</v>
      </c>
      <c r="V63" s="145">
        <f t="shared" ref="V63:V70" si="37">IF(S63="Possédée",1,IF(S63="Assiégée",0.5,0))</f>
        <v>0</v>
      </c>
    </row>
    <row r="64" spans="1:22" x14ac:dyDescent="0.25">
      <c r="A64" s="4" t="s">
        <v>40</v>
      </c>
      <c r="B64" s="68">
        <f>TRUNC(C64*V64*(1-T64)*IF(J64="Oui - niveau 1",1,IF(J64="Oui - niveau 2",1.25,IF(J64="Oui - niveau 3",1.5,0))))</f>
        <v>0</v>
      </c>
      <c r="C64" s="77">
        <v>8</v>
      </c>
      <c r="D64" s="85">
        <f>TRUNC(E64*V64*(1-T64)*IF(K64="Oui - niveau 1",1,IF(K64="Oui - niveau 2",1.25,IF(K64="Oui - niveau 3",1.5,0))))</f>
        <v>0</v>
      </c>
      <c r="E64" s="86">
        <v>4</v>
      </c>
      <c r="F64" s="85"/>
      <c r="G64" s="86"/>
      <c r="H64" s="81">
        <f>TRUNC(I64*V64*(1-T64)*IF(M64="Oui - niveau 1",1,IF(M64="Oui - niveau 2",1.25,IF(M64="Oui - niveau 3",1.5,0))))</f>
        <v>0</v>
      </c>
      <c r="I64" s="69">
        <v>12</v>
      </c>
      <c r="J64" s="47"/>
      <c r="K64" s="49"/>
      <c r="L64" s="44" t="s">
        <v>165</v>
      </c>
      <c r="M64" s="49"/>
      <c r="N64" s="60"/>
      <c r="O64" s="49"/>
      <c r="P64" s="49"/>
      <c r="Q64" s="49"/>
      <c r="R64" s="41">
        <f t="shared" ref="R64:R70" si="38">IF(Q64="Oui",7,4)</f>
        <v>4</v>
      </c>
      <c r="S64" s="23" t="s">
        <v>105</v>
      </c>
      <c r="T64" s="21">
        <v>0</v>
      </c>
      <c r="U64" s="149">
        <f>(10000+IF(N64="Oui",4000,0)+IF(O64="Oui",8000,0)+IF(P64="Oui",16000,0)+IF(Q64="Oui",20000,0))*V64*(1-T64)</f>
        <v>0</v>
      </c>
      <c r="V64" s="146">
        <f t="shared" si="37"/>
        <v>0</v>
      </c>
    </row>
    <row r="65" spans="1:22" x14ac:dyDescent="0.25">
      <c r="A65" s="4" t="s">
        <v>41</v>
      </c>
      <c r="B65" s="68">
        <f t="shared" ref="B65:B70" si="39">TRUNC(C65*V65*(1-T65)*IF(J65="Oui - niveau 1",1,IF(J65="Oui - niveau 2",1.25,IF(J65="Oui - niveau 3",1.5,0))))</f>
        <v>0</v>
      </c>
      <c r="C65" s="77">
        <v>4</v>
      </c>
      <c r="D65" s="85"/>
      <c r="E65" s="86"/>
      <c r="F65" s="85">
        <f t="shared" ref="F65:F68" si="40">TRUNC(G65*V65*(1-T65)*IF(L65="Oui - niveau 1",1,IF(L65="Oui - niveau 2",1.25,IF(L65="Oui - niveau 3",1.5,0))))</f>
        <v>0</v>
      </c>
      <c r="G65" s="86">
        <v>8</v>
      </c>
      <c r="H65" s="81">
        <f t="shared" ref="H65:H70" si="41">TRUNC(I65*V65*(1-T65)*IF(M65="Oui - niveau 1",1,IF(M65="Oui - niveau 2",1.25,IF(M65="Oui - niveau 3",1.5,0))))</f>
        <v>0</v>
      </c>
      <c r="I65" s="69">
        <v>12</v>
      </c>
      <c r="J65" s="49"/>
      <c r="K65" s="44" t="s">
        <v>165</v>
      </c>
      <c r="L65" s="49"/>
      <c r="M65" s="49"/>
      <c r="N65" s="60"/>
      <c r="O65" s="49"/>
      <c r="P65" s="49"/>
      <c r="Q65" s="49"/>
      <c r="R65" s="41">
        <f t="shared" si="38"/>
        <v>4</v>
      </c>
      <c r="S65" s="23" t="s">
        <v>105</v>
      </c>
      <c r="T65" s="21">
        <v>0</v>
      </c>
      <c r="U65" s="149">
        <f>(10000+IF(N65="Oui",4000,0)+IF(O65="Oui",8000,0)+IF(P65="Oui",16000,0)+IF(Q65="Oui",20000,0))*V65*(1-T65)</f>
        <v>0</v>
      </c>
      <c r="V65" s="146">
        <f t="shared" si="37"/>
        <v>0</v>
      </c>
    </row>
    <row r="66" spans="1:22" x14ac:dyDescent="0.25">
      <c r="A66" s="4" t="s">
        <v>42</v>
      </c>
      <c r="B66" s="68">
        <f t="shared" si="39"/>
        <v>0</v>
      </c>
      <c r="C66" s="77">
        <v>8</v>
      </c>
      <c r="D66" s="85"/>
      <c r="E66" s="86"/>
      <c r="F66" s="85">
        <f t="shared" si="40"/>
        <v>0</v>
      </c>
      <c r="G66" s="86">
        <v>4</v>
      </c>
      <c r="H66" s="81">
        <f t="shared" si="41"/>
        <v>0</v>
      </c>
      <c r="I66" s="69">
        <v>12</v>
      </c>
      <c r="J66" s="49"/>
      <c r="K66" s="44" t="s">
        <v>165</v>
      </c>
      <c r="L66" s="49"/>
      <c r="M66" s="49"/>
      <c r="N66" s="60"/>
      <c r="O66" s="49"/>
      <c r="P66" s="49"/>
      <c r="Q66" s="49"/>
      <c r="R66" s="41">
        <f t="shared" si="38"/>
        <v>4</v>
      </c>
      <c r="S66" s="23" t="s">
        <v>105</v>
      </c>
      <c r="T66" s="21">
        <v>0</v>
      </c>
      <c r="U66" s="149">
        <f>(10000+IF(N66="Oui",4000,0)+IF(O66="Oui",8000,0)+IF(P66="Oui",16000,0)+IF(Q66="Oui",20000,0))*V66*(1-T66)</f>
        <v>0</v>
      </c>
      <c r="V66" s="146">
        <f t="shared" si="37"/>
        <v>0</v>
      </c>
    </row>
    <row r="67" spans="1:22" x14ac:dyDescent="0.25">
      <c r="A67" s="4" t="s">
        <v>43</v>
      </c>
      <c r="B67" s="68">
        <f t="shared" si="39"/>
        <v>0</v>
      </c>
      <c r="C67" s="77">
        <v>8</v>
      </c>
      <c r="D67" s="85">
        <f t="shared" ref="D67:D70" si="42">TRUNC(E67*V67*(1-T67)*IF(K67="Oui - niveau 1",1,IF(K67="Oui - niveau 2",1.25,IF(K67="Oui - niveau 3",1.5,0))))</f>
        <v>0</v>
      </c>
      <c r="E67" s="86">
        <v>4</v>
      </c>
      <c r="F67" s="85"/>
      <c r="G67" s="86"/>
      <c r="H67" s="81">
        <f t="shared" si="41"/>
        <v>0</v>
      </c>
      <c r="I67" s="69">
        <v>12</v>
      </c>
      <c r="J67" s="47"/>
      <c r="K67" s="49"/>
      <c r="L67" s="44" t="s">
        <v>165</v>
      </c>
      <c r="M67" s="49"/>
      <c r="N67" s="60"/>
      <c r="O67" s="49"/>
      <c r="P67" s="49"/>
      <c r="Q67" s="49"/>
      <c r="R67" s="41">
        <f t="shared" si="38"/>
        <v>4</v>
      </c>
      <c r="S67" s="23" t="s">
        <v>105</v>
      </c>
      <c r="T67" s="21">
        <v>0</v>
      </c>
      <c r="U67" s="149">
        <f>(10000+IF(N67="Oui",4000,0)+IF(O67="Oui",8000,0)+IF(P67="Oui",16000,0)+IF(Q67="Oui",20000,0))*V67*(1-T67)</f>
        <v>0</v>
      </c>
      <c r="V67" s="146">
        <f t="shared" si="37"/>
        <v>0</v>
      </c>
    </row>
    <row r="68" spans="1:22" x14ac:dyDescent="0.25">
      <c r="A68" s="4" t="s">
        <v>44</v>
      </c>
      <c r="B68" s="68">
        <f t="shared" si="39"/>
        <v>0</v>
      </c>
      <c r="C68" s="77">
        <v>4</v>
      </c>
      <c r="D68" s="85">
        <f t="shared" si="42"/>
        <v>0</v>
      </c>
      <c r="E68" s="86">
        <v>8</v>
      </c>
      <c r="F68" s="85">
        <f t="shared" si="40"/>
        <v>0</v>
      </c>
      <c r="G68" s="86">
        <v>4</v>
      </c>
      <c r="H68" s="81">
        <f t="shared" si="41"/>
        <v>0</v>
      </c>
      <c r="I68" s="69">
        <v>12</v>
      </c>
      <c r="J68" s="47"/>
      <c r="K68" s="49"/>
      <c r="L68" s="49"/>
      <c r="M68" s="49"/>
      <c r="N68" s="60"/>
      <c r="O68" s="49"/>
      <c r="P68" s="49"/>
      <c r="Q68" s="49"/>
      <c r="R68" s="41">
        <f t="shared" si="38"/>
        <v>4</v>
      </c>
      <c r="S68" s="23" t="s">
        <v>105</v>
      </c>
      <c r="T68" s="21">
        <v>0</v>
      </c>
      <c r="U68" s="149">
        <f>(10000+IF(N68="Oui",4000,0)+IF(O68="Oui",8000,0)+IF(P68="Oui",16000,0)+IF(Q68="Oui",20000,0))*V68*(1-T68)</f>
        <v>0</v>
      </c>
      <c r="V68" s="146">
        <f t="shared" si="37"/>
        <v>0</v>
      </c>
    </row>
    <row r="69" spans="1:22" x14ac:dyDescent="0.25">
      <c r="A69" s="4" t="s">
        <v>45</v>
      </c>
      <c r="B69" s="68">
        <f t="shared" si="39"/>
        <v>0</v>
      </c>
      <c r="C69" s="77">
        <v>4</v>
      </c>
      <c r="D69" s="85">
        <f t="shared" si="42"/>
        <v>0</v>
      </c>
      <c r="E69" s="86">
        <v>8</v>
      </c>
      <c r="F69" s="85"/>
      <c r="G69" s="86"/>
      <c r="H69" s="81">
        <f t="shared" si="41"/>
        <v>0</v>
      </c>
      <c r="I69" s="69">
        <v>12</v>
      </c>
      <c r="J69" s="47"/>
      <c r="K69" s="49"/>
      <c r="L69" s="44" t="s">
        <v>165</v>
      </c>
      <c r="M69" s="49"/>
      <c r="N69" s="60"/>
      <c r="O69" s="49"/>
      <c r="P69" s="49"/>
      <c r="Q69" s="49"/>
      <c r="R69" s="41">
        <f t="shared" si="38"/>
        <v>4</v>
      </c>
      <c r="S69" s="23" t="s">
        <v>105</v>
      </c>
      <c r="T69" s="21">
        <v>0</v>
      </c>
      <c r="U69" s="149">
        <f>(10000+IF(N69="Oui",4000,0)+IF(O69="Oui",8000,0)+IF(P69="Oui",16000,0)+IF(Q69="Oui",20000,0))*V69*(1-T69)</f>
        <v>0</v>
      </c>
      <c r="V69" s="146">
        <f t="shared" si="37"/>
        <v>0</v>
      </c>
    </row>
    <row r="70" spans="1:22" ht="15.75" thickBot="1" x14ac:dyDescent="0.3">
      <c r="A70" s="4" t="s">
        <v>87</v>
      </c>
      <c r="B70" s="72">
        <f t="shared" si="39"/>
        <v>0</v>
      </c>
      <c r="C70" s="79">
        <v>8</v>
      </c>
      <c r="D70" s="89">
        <f t="shared" si="42"/>
        <v>0</v>
      </c>
      <c r="E70" s="90">
        <v>4</v>
      </c>
      <c r="F70" s="85"/>
      <c r="G70" s="90"/>
      <c r="H70" s="81">
        <f t="shared" si="41"/>
        <v>0</v>
      </c>
      <c r="I70" s="73">
        <v>12</v>
      </c>
      <c r="J70" s="47"/>
      <c r="K70" s="49"/>
      <c r="L70" s="44" t="s">
        <v>165</v>
      </c>
      <c r="M70" s="49"/>
      <c r="N70" s="61"/>
      <c r="O70" s="53"/>
      <c r="P70" s="53"/>
      <c r="Q70" s="53"/>
      <c r="R70" s="42">
        <f t="shared" si="38"/>
        <v>4</v>
      </c>
      <c r="S70" s="23" t="s">
        <v>105</v>
      </c>
      <c r="T70" s="21">
        <v>0</v>
      </c>
      <c r="U70" s="149">
        <f>(10000+IF(N70="Oui",4000,0)+IF(O70="Oui",8000,0)+IF(P70="Oui",16000,0)+IF(Q70="Oui",20000,0))*V70*(1-T70)</f>
        <v>0</v>
      </c>
      <c r="V70" s="146">
        <f t="shared" si="37"/>
        <v>0</v>
      </c>
    </row>
    <row r="71" spans="1:22" ht="15.75" thickBot="1" x14ac:dyDescent="0.3">
      <c r="A71" s="33" t="s">
        <v>46</v>
      </c>
      <c r="B71" s="99" t="str">
        <f>B$26</f>
        <v>Nourriture</v>
      </c>
      <c r="C71" s="100"/>
      <c r="D71" s="101" t="str">
        <f>D$26</f>
        <v>Bois</v>
      </c>
      <c r="E71" s="102"/>
      <c r="F71" s="101" t="str">
        <f t="shared" ref="F71" si="43">F$26</f>
        <v>Fer</v>
      </c>
      <c r="G71" s="102"/>
      <c r="H71" s="100" t="str">
        <f t="shared" ref="H71" si="44">H$26</f>
        <v>Gemmes</v>
      </c>
      <c r="I71" s="103"/>
      <c r="J71" s="6" t="str">
        <f>J$26</f>
        <v>Ferme</v>
      </c>
      <c r="K71" s="6" t="str">
        <f t="shared" ref="K71:Q71" si="45">K$26</f>
        <v>Scierie</v>
      </c>
      <c r="L71" s="6" t="str">
        <f t="shared" si="45"/>
        <v>Mine</v>
      </c>
      <c r="M71" s="36" t="str">
        <f t="shared" si="45"/>
        <v>Guilde Mages</v>
      </c>
      <c r="N71" s="6" t="str">
        <f t="shared" si="45"/>
        <v>Comptoir</v>
      </c>
      <c r="O71" s="6" t="str">
        <f t="shared" si="45"/>
        <v>Marché</v>
      </c>
      <c r="P71" s="6" t="str">
        <f t="shared" si="45"/>
        <v>Banque</v>
      </c>
      <c r="Q71" s="6" t="str">
        <f t="shared" si="45"/>
        <v>Palais</v>
      </c>
      <c r="R71" s="28"/>
      <c r="S71" s="3"/>
      <c r="T71" s="3"/>
      <c r="U71" s="150"/>
      <c r="V71" s="62"/>
    </row>
    <row r="72" spans="1:22" x14ac:dyDescent="0.25">
      <c r="A72" s="4" t="s">
        <v>47</v>
      </c>
      <c r="B72" s="66">
        <f>TRUNC(C72*V72*(1-T72)*IF(J72="Oui - niveau 1",1,IF(J72="Oui - niveau 2",1.25,IF(J72="Oui - niveau 3",1.5,0))))</f>
        <v>0</v>
      </c>
      <c r="C72" s="76">
        <v>4</v>
      </c>
      <c r="D72" s="83"/>
      <c r="E72" s="84"/>
      <c r="F72" s="85">
        <f>TRUNC(G72*V72*(1-T72)*IF(L72="Oui - niveau 1",1,IF(L72="Oui - niveau 2",1.25,IF(L72="Oui - niveau 3",1.5,0))))</f>
        <v>0</v>
      </c>
      <c r="G72" s="84">
        <v>12</v>
      </c>
      <c r="H72" s="81">
        <f>TRUNC(I72*V72*(1-T72)*IF(M72="Oui - niveau 1",1,IF(M72="Oui - niveau 2",1.25,IF(M72="Oui - niveau 3",1.5,0))))</f>
        <v>0</v>
      </c>
      <c r="I72" s="67">
        <v>8</v>
      </c>
      <c r="J72" s="43"/>
      <c r="K72" s="44" t="s">
        <v>165</v>
      </c>
      <c r="L72" s="49"/>
      <c r="M72" s="49"/>
      <c r="N72" s="59"/>
      <c r="O72" s="46"/>
      <c r="P72" s="46"/>
      <c r="Q72" s="46"/>
      <c r="R72" s="40">
        <f>IF(Q72="Oui",7,4)</f>
        <v>4</v>
      </c>
      <c r="S72" s="23" t="s">
        <v>105</v>
      </c>
      <c r="T72" s="20">
        <v>0</v>
      </c>
      <c r="U72" s="148">
        <f>(IF(G$6="Lenclume",30000,10000)+IF(N72="Oui",4000,0)+IF(O72="Oui",8000,0)+IF(P72="Oui",16000,0)+IF(Q72="Oui",20000,0))*V72*(1-T72)</f>
        <v>0</v>
      </c>
      <c r="V72" s="145">
        <f t="shared" ref="V72:V79" si="46">IF(S72="Possédée",1,IF(S72="Assiégée",0.5,0))</f>
        <v>0</v>
      </c>
    </row>
    <row r="73" spans="1:22" x14ac:dyDescent="0.25">
      <c r="A73" s="4" t="s">
        <v>48</v>
      </c>
      <c r="B73" s="68">
        <f>TRUNC(C73*V73*(1-T73)*IF(J73="Oui - niveau 1",1,IF(J73="Oui - niveau 2",1.25,IF(J73="Oui - niveau 3",1.5,0))))</f>
        <v>0</v>
      </c>
      <c r="C73" s="77">
        <v>8</v>
      </c>
      <c r="D73" s="85">
        <f>TRUNC(E73*V73*(1-T73)*IF(K73="Oui - niveau 1",1,IF(K73="Oui - niveau 2",1.25,IF(K73="Oui - niveau 3",1.5,0))))</f>
        <v>0</v>
      </c>
      <c r="E73" s="86">
        <v>4</v>
      </c>
      <c r="F73" s="85">
        <f>TRUNC(G73*V73*(1-T73)*IF(L73="Oui - niveau 1",1,IF(L73="Oui - niveau 2",1.25,IF(L73="Oui - niveau 3",1.5,0))))</f>
        <v>0</v>
      </c>
      <c r="G73" s="86">
        <v>12</v>
      </c>
      <c r="H73" s="81"/>
      <c r="I73" s="69"/>
      <c r="J73" s="47"/>
      <c r="K73" s="49"/>
      <c r="L73" s="49"/>
      <c r="M73" s="44" t="s">
        <v>165</v>
      </c>
      <c r="N73" s="60"/>
      <c r="O73" s="49"/>
      <c r="P73" s="49"/>
      <c r="Q73" s="49"/>
      <c r="R73" s="41">
        <f t="shared" ref="R73:R79" si="47">IF(Q73="Oui",7,4)</f>
        <v>4</v>
      </c>
      <c r="S73" s="23" t="s">
        <v>105</v>
      </c>
      <c r="T73" s="21">
        <v>0</v>
      </c>
      <c r="U73" s="149">
        <f>(10000+IF(N73="Oui",4000,0)+IF(O73="Oui",8000,0)+IF(P73="Oui",16000,0)+IF(Q73="Oui",20000,0))*V73*(1-T73)</f>
        <v>0</v>
      </c>
      <c r="V73" s="146">
        <f t="shared" si="46"/>
        <v>0</v>
      </c>
    </row>
    <row r="74" spans="1:22" x14ac:dyDescent="0.25">
      <c r="A74" s="4" t="s">
        <v>49</v>
      </c>
      <c r="B74" s="68">
        <f t="shared" ref="B74:B79" si="48">TRUNC(C74*V74*(1-T74)*IF(J74="Oui - niveau 1",1,IF(J74="Oui - niveau 2",1.25,IF(J74="Oui - niveau 3",1.5,0))))</f>
        <v>0</v>
      </c>
      <c r="C74" s="77">
        <v>8</v>
      </c>
      <c r="D74" s="85"/>
      <c r="E74" s="86"/>
      <c r="F74" s="85">
        <f t="shared" ref="F74:F79" si="49">TRUNC(G74*V74*(1-T74)*IF(L74="Oui - niveau 1",1,IF(L74="Oui - niveau 2",1.25,IF(L74="Oui - niveau 3",1.5,0))))</f>
        <v>0</v>
      </c>
      <c r="G74" s="86">
        <v>12</v>
      </c>
      <c r="H74" s="81">
        <f t="shared" ref="H74:H77" si="50">TRUNC(I74*V74*(1-T74)*IF(M74="Oui - niveau 1",1,IF(M74="Oui - niveau 2",1.25,IF(M74="Oui - niveau 3",1.5,0))))</f>
        <v>0</v>
      </c>
      <c r="I74" s="69">
        <v>4</v>
      </c>
      <c r="J74" s="47"/>
      <c r="K74" s="44" t="s">
        <v>165</v>
      </c>
      <c r="L74" s="49"/>
      <c r="M74" s="49"/>
      <c r="N74" s="60"/>
      <c r="O74" s="49"/>
      <c r="P74" s="49"/>
      <c r="Q74" s="49"/>
      <c r="R74" s="41">
        <f t="shared" si="47"/>
        <v>4</v>
      </c>
      <c r="S74" s="23" t="s">
        <v>105</v>
      </c>
      <c r="T74" s="21">
        <v>0</v>
      </c>
      <c r="U74" s="149">
        <f>(10000+IF(N74="Oui",4000,0)+IF(O74="Oui",8000,0)+IF(P74="Oui",16000,0)+IF(Q74="Oui",20000,0))*V74*(1-T74)</f>
        <v>0</v>
      </c>
      <c r="V74" s="146">
        <f t="shared" si="46"/>
        <v>0</v>
      </c>
    </row>
    <row r="75" spans="1:22" x14ac:dyDescent="0.25">
      <c r="A75" s="4" t="s">
        <v>50</v>
      </c>
      <c r="B75" s="68">
        <f t="shared" si="48"/>
        <v>0</v>
      </c>
      <c r="C75" s="77">
        <v>8</v>
      </c>
      <c r="D75" s="85">
        <f t="shared" ref="D75:D79" si="51">TRUNC(E75*V75*(1-T75)*IF(K75="Oui - niveau 1",1,IF(K75="Oui - niveau 2",1.25,IF(K75="Oui - niveau 3",1.5,0))))</f>
        <v>0</v>
      </c>
      <c r="E75" s="86">
        <v>4</v>
      </c>
      <c r="F75" s="85">
        <f t="shared" si="49"/>
        <v>0</v>
      </c>
      <c r="G75" s="86">
        <v>12</v>
      </c>
      <c r="H75" s="81"/>
      <c r="I75" s="69"/>
      <c r="J75" s="47"/>
      <c r="K75" s="49"/>
      <c r="L75" s="49"/>
      <c r="M75" s="44" t="s">
        <v>165</v>
      </c>
      <c r="N75" s="60"/>
      <c r="O75" s="49"/>
      <c r="P75" s="49"/>
      <c r="Q75" s="49"/>
      <c r="R75" s="41">
        <f t="shared" si="47"/>
        <v>4</v>
      </c>
      <c r="S75" s="23" t="s">
        <v>105</v>
      </c>
      <c r="T75" s="21">
        <v>0</v>
      </c>
      <c r="U75" s="149">
        <f>(10000+IF(N75="Oui",4000,0)+IF(O75="Oui",8000,0)+IF(P75="Oui",16000,0)+IF(Q75="Oui",20000,0))*V75*(1-T75)</f>
        <v>0</v>
      </c>
      <c r="V75" s="146">
        <f t="shared" si="46"/>
        <v>0</v>
      </c>
    </row>
    <row r="76" spans="1:22" x14ac:dyDescent="0.25">
      <c r="A76" s="4" t="s">
        <v>51</v>
      </c>
      <c r="B76" s="68">
        <f t="shared" si="48"/>
        <v>0</v>
      </c>
      <c r="C76" s="77">
        <v>8</v>
      </c>
      <c r="D76" s="85">
        <f t="shared" si="51"/>
        <v>0</v>
      </c>
      <c r="E76" s="86">
        <v>4</v>
      </c>
      <c r="F76" s="85">
        <f t="shared" si="49"/>
        <v>0</v>
      </c>
      <c r="G76" s="86">
        <v>12</v>
      </c>
      <c r="H76" s="81"/>
      <c r="I76" s="69"/>
      <c r="J76" s="47"/>
      <c r="K76" s="49"/>
      <c r="L76" s="49"/>
      <c r="M76" s="44" t="s">
        <v>165</v>
      </c>
      <c r="N76" s="60"/>
      <c r="O76" s="49"/>
      <c r="P76" s="49"/>
      <c r="Q76" s="49"/>
      <c r="R76" s="41">
        <f t="shared" si="47"/>
        <v>4</v>
      </c>
      <c r="S76" s="23" t="s">
        <v>105</v>
      </c>
      <c r="T76" s="21">
        <v>0</v>
      </c>
      <c r="U76" s="149">
        <f>(10000+IF(N76="Oui",4000,0)+IF(O76="Oui",8000,0)+IF(P76="Oui",16000,0)+IF(Q76="Oui",20000,0))*V76*(1-T76)</f>
        <v>0</v>
      </c>
      <c r="V76" s="146">
        <f t="shared" si="46"/>
        <v>0</v>
      </c>
    </row>
    <row r="77" spans="1:22" x14ac:dyDescent="0.25">
      <c r="A77" s="4" t="s">
        <v>52</v>
      </c>
      <c r="B77" s="68"/>
      <c r="C77" s="77"/>
      <c r="D77" s="85">
        <f t="shared" si="51"/>
        <v>0</v>
      </c>
      <c r="E77" s="86">
        <v>8</v>
      </c>
      <c r="F77" s="85">
        <f t="shared" si="49"/>
        <v>0</v>
      </c>
      <c r="G77" s="86">
        <v>12</v>
      </c>
      <c r="H77" s="81">
        <f t="shared" si="50"/>
        <v>0</v>
      </c>
      <c r="I77" s="69">
        <v>4</v>
      </c>
      <c r="J77" s="44" t="s">
        <v>165</v>
      </c>
      <c r="K77" s="49"/>
      <c r="L77" s="49"/>
      <c r="M77" s="49"/>
      <c r="N77" s="60"/>
      <c r="O77" s="49"/>
      <c r="P77" s="49"/>
      <c r="Q77" s="49"/>
      <c r="R77" s="41">
        <f t="shared" si="47"/>
        <v>4</v>
      </c>
      <c r="S77" s="23" t="s">
        <v>105</v>
      </c>
      <c r="T77" s="21">
        <v>0</v>
      </c>
      <c r="U77" s="149">
        <f>(10000+IF(N77="Oui",4000,0)+IF(O77="Oui",8000,0)+IF(P77="Oui",16000,0)+IF(Q77="Oui",20000,0))*V77*(1-T77)</f>
        <v>0</v>
      </c>
      <c r="V77" s="146">
        <f t="shared" si="46"/>
        <v>0</v>
      </c>
    </row>
    <row r="78" spans="1:22" x14ac:dyDescent="0.25">
      <c r="A78" s="4" t="s">
        <v>53</v>
      </c>
      <c r="B78" s="68">
        <f t="shared" si="48"/>
        <v>0</v>
      </c>
      <c r="C78" s="77">
        <v>8</v>
      </c>
      <c r="D78" s="85">
        <f t="shared" si="51"/>
        <v>0</v>
      </c>
      <c r="E78" s="86">
        <v>4</v>
      </c>
      <c r="F78" s="85">
        <f t="shared" si="49"/>
        <v>0</v>
      </c>
      <c r="G78" s="86">
        <v>12</v>
      </c>
      <c r="H78" s="81"/>
      <c r="I78" s="69"/>
      <c r="J78" s="47"/>
      <c r="K78" s="49"/>
      <c r="L78" s="49"/>
      <c r="M78" s="44" t="s">
        <v>165</v>
      </c>
      <c r="N78" s="60"/>
      <c r="O78" s="49"/>
      <c r="P78" s="49"/>
      <c r="Q78" s="49"/>
      <c r="R78" s="41">
        <f t="shared" si="47"/>
        <v>4</v>
      </c>
      <c r="S78" s="23" t="s">
        <v>105</v>
      </c>
      <c r="T78" s="21">
        <v>0</v>
      </c>
      <c r="U78" s="149">
        <f>(10000+IF(N78="Oui",4000,0)+IF(O78="Oui",8000,0)+IF(P78="Oui",16000,0)+IF(Q78="Oui",20000,0))*V78*(1-T78)</f>
        <v>0</v>
      </c>
      <c r="V78" s="146">
        <f t="shared" si="46"/>
        <v>0</v>
      </c>
    </row>
    <row r="79" spans="1:22" ht="15.75" thickBot="1" x14ac:dyDescent="0.3">
      <c r="A79" s="4" t="s">
        <v>54</v>
      </c>
      <c r="B79" s="72">
        <f t="shared" si="48"/>
        <v>0</v>
      </c>
      <c r="C79" s="79">
        <v>4</v>
      </c>
      <c r="D79" s="89">
        <f t="shared" si="51"/>
        <v>0</v>
      </c>
      <c r="E79" s="90">
        <v>8</v>
      </c>
      <c r="F79" s="85">
        <f t="shared" si="49"/>
        <v>0</v>
      </c>
      <c r="G79" s="90">
        <v>12</v>
      </c>
      <c r="H79" s="81"/>
      <c r="I79" s="73"/>
      <c r="J79" s="47"/>
      <c r="K79" s="49"/>
      <c r="L79" s="49"/>
      <c r="M79" s="44" t="s">
        <v>165</v>
      </c>
      <c r="N79" s="61"/>
      <c r="O79" s="53"/>
      <c r="P79" s="53"/>
      <c r="Q79" s="53"/>
      <c r="R79" s="42">
        <f t="shared" si="47"/>
        <v>4</v>
      </c>
      <c r="S79" s="23" t="s">
        <v>105</v>
      </c>
      <c r="T79" s="21">
        <v>0</v>
      </c>
      <c r="U79" s="149">
        <f>(10000+IF(N79="Oui",4000,0)+IF(O79="Oui",8000,0)+IF(P79="Oui",16000,0)+IF(Q79="Oui",20000,0))*V79*(1-T79)</f>
        <v>0</v>
      </c>
      <c r="V79" s="146">
        <f t="shared" si="46"/>
        <v>0</v>
      </c>
    </row>
    <row r="80" spans="1:22" ht="15.75" thickBot="1" x14ac:dyDescent="0.3">
      <c r="A80" s="33" t="s">
        <v>56</v>
      </c>
      <c r="B80" s="99" t="str">
        <f>B$26</f>
        <v>Nourriture</v>
      </c>
      <c r="C80" s="100"/>
      <c r="D80" s="101" t="str">
        <f>D$26</f>
        <v>Bois</v>
      </c>
      <c r="E80" s="102"/>
      <c r="F80" s="101" t="str">
        <f t="shared" ref="F80" si="52">F$26</f>
        <v>Fer</v>
      </c>
      <c r="G80" s="102"/>
      <c r="H80" s="100" t="str">
        <f t="shared" ref="H80" si="53">H$26</f>
        <v>Gemmes</v>
      </c>
      <c r="I80" s="103"/>
      <c r="J80" s="6" t="str">
        <f>J$26</f>
        <v>Ferme</v>
      </c>
      <c r="K80" s="6" t="str">
        <f t="shared" ref="K80:Q80" si="54">K$26</f>
        <v>Scierie</v>
      </c>
      <c r="L80" s="6" t="str">
        <f t="shared" si="54"/>
        <v>Mine</v>
      </c>
      <c r="M80" s="36" t="str">
        <f t="shared" si="54"/>
        <v>Guilde Mages</v>
      </c>
      <c r="N80" s="6" t="str">
        <f t="shared" si="54"/>
        <v>Comptoir</v>
      </c>
      <c r="O80" s="6" t="str">
        <f t="shared" si="54"/>
        <v>Marché</v>
      </c>
      <c r="P80" s="6" t="str">
        <f t="shared" si="54"/>
        <v>Banque</v>
      </c>
      <c r="Q80" s="6" t="str">
        <f t="shared" si="54"/>
        <v>Palais</v>
      </c>
      <c r="R80" s="28"/>
      <c r="S80" s="3"/>
      <c r="T80" s="3"/>
      <c r="U80" s="150"/>
      <c r="V80" s="62"/>
    </row>
    <row r="81" spans="1:22" x14ac:dyDescent="0.25">
      <c r="A81" s="4" t="s">
        <v>57</v>
      </c>
      <c r="B81" s="66">
        <f>TRUNC(C81*V81*(1-T81)*IF(J81="Oui - niveau 1",1,IF(J81="Oui - niveau 2",1.25,IF(J81="Oui - niveau 3",1.5,0))))</f>
        <v>0</v>
      </c>
      <c r="C81" s="76">
        <v>4</v>
      </c>
      <c r="D81" s="83">
        <f>TRUNC(E81*V81*(1-T81)*IF(K81="Oui - niveau 1",1,IF(K81="Oui - niveau 2",1.25,IF(K81="Oui - niveau 3",1.5,0))))</f>
        <v>0</v>
      </c>
      <c r="E81" s="84">
        <v>12</v>
      </c>
      <c r="F81" s="85"/>
      <c r="G81" s="84"/>
      <c r="H81" s="81">
        <f>TRUNC(I81*V81*(1-T81)*IF(M81="Oui - niveau 1",1,IF(M81="Oui - niveau 2",1.25,IF(M81="Oui - niveau 3",1.5,0))))</f>
        <v>0</v>
      </c>
      <c r="I81" s="67">
        <v>8</v>
      </c>
      <c r="J81" s="43"/>
      <c r="K81" s="49"/>
      <c r="L81" s="44" t="s">
        <v>165</v>
      </c>
      <c r="M81" s="49"/>
      <c r="N81" s="59"/>
      <c r="O81" s="46"/>
      <c r="P81" s="46"/>
      <c r="Q81" s="46"/>
      <c r="R81" s="40">
        <f>IF(Q81="Oui",7,4)</f>
        <v>4</v>
      </c>
      <c r="S81" s="23" t="s">
        <v>105</v>
      </c>
      <c r="T81" s="20">
        <v>0</v>
      </c>
      <c r="U81" s="148">
        <f>(IF(G$6="Marais Noir",30000,10000)+IF(N81="Oui",4000,0)+IF(O81="Oui",8000,0)+IF(P81="Oui",16000,0)+IF(Q81="Oui",20000,0))*V81*(1-T81)</f>
        <v>0</v>
      </c>
      <c r="V81" s="145">
        <f t="shared" ref="V81:V88" si="55">IF(S81="Possédée",1,IF(S81="Assiégée",0.5,0))</f>
        <v>0</v>
      </c>
    </row>
    <row r="82" spans="1:22" x14ac:dyDescent="0.25">
      <c r="A82" s="4" t="s">
        <v>58</v>
      </c>
      <c r="B82" s="68">
        <f>TRUNC(C82*V82*(1-T82)*IF(J82="Oui - niveau 1",1,IF(J82="Oui - niveau 2",1.25,IF(J82="Oui - niveau 3",1.5,0))))</f>
        <v>0</v>
      </c>
      <c r="C82" s="77">
        <v>4</v>
      </c>
      <c r="D82" s="85">
        <f>TRUNC(E82*V82*(1-T82)*IF(K82="Oui - niveau 1",1,IF(K82="Oui - niveau 2",1.25,IF(K82="Oui - niveau 3",1.5,0))))</f>
        <v>0</v>
      </c>
      <c r="E82" s="86">
        <v>12</v>
      </c>
      <c r="F82" s="85"/>
      <c r="G82" s="86"/>
      <c r="H82" s="81">
        <f>TRUNC(I82*V82*(1-T82)*IF(M82="Oui - niveau 1",1,IF(M82="Oui - niveau 2",1.25,IF(M82="Oui - niveau 3",1.5,0))))</f>
        <v>0</v>
      </c>
      <c r="I82" s="69">
        <v>8</v>
      </c>
      <c r="J82" s="47"/>
      <c r="K82" s="49"/>
      <c r="L82" s="44" t="s">
        <v>165</v>
      </c>
      <c r="M82" s="49"/>
      <c r="N82" s="60"/>
      <c r="O82" s="49"/>
      <c r="P82" s="49"/>
      <c r="Q82" s="49"/>
      <c r="R82" s="41">
        <f t="shared" ref="R82:R88" si="56">IF(Q82="Oui",7,4)</f>
        <v>4</v>
      </c>
      <c r="S82" s="23" t="s">
        <v>105</v>
      </c>
      <c r="T82" s="21">
        <v>0</v>
      </c>
      <c r="U82" s="149">
        <f>(10000+IF(N82="Oui",4000,0)+IF(O82="Oui",8000,0)+IF(P82="Oui",16000,0)+IF(Q82="Oui",20000,0))*V82*(1-T82)</f>
        <v>0</v>
      </c>
      <c r="V82" s="146">
        <f t="shared" si="55"/>
        <v>0</v>
      </c>
    </row>
    <row r="83" spans="1:22" x14ac:dyDescent="0.25">
      <c r="A83" s="4" t="s">
        <v>59</v>
      </c>
      <c r="B83" s="68"/>
      <c r="C83" s="77"/>
      <c r="D83" s="85">
        <f t="shared" ref="D83:D88" si="57">TRUNC(E83*V83*(1-T83)*IF(K83="Oui - niveau 1",1,IF(K83="Oui - niveau 2",1.25,IF(K83="Oui - niveau 3",1.5,0))))</f>
        <v>0</v>
      </c>
      <c r="E83" s="86">
        <v>12</v>
      </c>
      <c r="F83" s="85">
        <f t="shared" ref="F83:F85" si="58">TRUNC(G83*V83*(1-T83)*IF(L83="Oui - niveau 1",1,IF(L83="Oui - niveau 2",1.25,IF(L83="Oui - niveau 3",1.5,0))))</f>
        <v>0</v>
      </c>
      <c r="G83" s="86">
        <v>4</v>
      </c>
      <c r="H83" s="81">
        <f t="shared" ref="H83:H88" si="59">TRUNC(I83*V83*(1-T83)*IF(M83="Oui - niveau 1",1,IF(M83="Oui - niveau 2",1.25,IF(M83="Oui - niveau 3",1.5,0))))</f>
        <v>0</v>
      </c>
      <c r="I83" s="69">
        <v>8</v>
      </c>
      <c r="J83" s="44" t="s">
        <v>165</v>
      </c>
      <c r="K83" s="49"/>
      <c r="L83" s="49"/>
      <c r="M83" s="49"/>
      <c r="N83" s="60"/>
      <c r="O83" s="49"/>
      <c r="P83" s="49"/>
      <c r="Q83" s="49"/>
      <c r="R83" s="41">
        <f t="shared" si="56"/>
        <v>4</v>
      </c>
      <c r="S83" s="23" t="s">
        <v>105</v>
      </c>
      <c r="T83" s="21">
        <v>0</v>
      </c>
      <c r="U83" s="149">
        <f>(10000+IF(N83="Oui",4000,0)+IF(O83="Oui",8000,0)+IF(P83="Oui",16000,0)+IF(Q83="Oui",20000,0))*V83*(1-T83)</f>
        <v>0</v>
      </c>
      <c r="V83" s="146">
        <f t="shared" si="55"/>
        <v>0</v>
      </c>
    </row>
    <row r="84" spans="1:22" x14ac:dyDescent="0.25">
      <c r="A84" s="4" t="s">
        <v>60</v>
      </c>
      <c r="B84" s="68">
        <f t="shared" ref="B84:B88" si="60">TRUNC(C84*V84*(1-T84)*IF(J84="Oui - niveau 1",1,IF(J84="Oui - niveau 2",1.25,IF(J84="Oui - niveau 3",1.5,0))))</f>
        <v>0</v>
      </c>
      <c r="C84" s="77">
        <v>4</v>
      </c>
      <c r="D84" s="85">
        <f t="shared" si="57"/>
        <v>0</v>
      </c>
      <c r="E84" s="86">
        <v>12</v>
      </c>
      <c r="F84" s="85">
        <f t="shared" si="58"/>
        <v>0</v>
      </c>
      <c r="G84" s="86">
        <v>8</v>
      </c>
      <c r="H84" s="81"/>
      <c r="I84" s="69"/>
      <c r="J84" s="47"/>
      <c r="K84" s="49"/>
      <c r="L84" s="49"/>
      <c r="M84" s="44" t="s">
        <v>165</v>
      </c>
      <c r="N84" s="60"/>
      <c r="O84" s="49"/>
      <c r="P84" s="49"/>
      <c r="Q84" s="49"/>
      <c r="R84" s="41">
        <f t="shared" si="56"/>
        <v>4</v>
      </c>
      <c r="S84" s="23" t="s">
        <v>105</v>
      </c>
      <c r="T84" s="21">
        <v>0</v>
      </c>
      <c r="U84" s="149">
        <f>(10000+IF(N84="Oui",4000,0)+IF(O84="Oui",8000,0)+IF(P84="Oui",16000,0)+IF(Q84="Oui",20000,0))*V84*(1-T84)</f>
        <v>0</v>
      </c>
      <c r="V84" s="146">
        <f t="shared" si="55"/>
        <v>0</v>
      </c>
    </row>
    <row r="85" spans="1:22" x14ac:dyDescent="0.25">
      <c r="A85" s="4" t="s">
        <v>61</v>
      </c>
      <c r="B85" s="68"/>
      <c r="C85" s="77"/>
      <c r="D85" s="85">
        <f t="shared" si="57"/>
        <v>0</v>
      </c>
      <c r="E85" s="86">
        <v>12</v>
      </c>
      <c r="F85" s="85">
        <f t="shared" si="58"/>
        <v>0</v>
      </c>
      <c r="G85" s="86">
        <v>4</v>
      </c>
      <c r="H85" s="81">
        <f t="shared" si="59"/>
        <v>0</v>
      </c>
      <c r="I85" s="69">
        <v>8</v>
      </c>
      <c r="J85" s="44" t="s">
        <v>165</v>
      </c>
      <c r="K85" s="49"/>
      <c r="L85" s="49"/>
      <c r="M85" s="49"/>
      <c r="N85" s="60"/>
      <c r="O85" s="49"/>
      <c r="P85" s="49"/>
      <c r="Q85" s="49"/>
      <c r="R85" s="41">
        <f t="shared" si="56"/>
        <v>4</v>
      </c>
      <c r="S85" s="23" t="s">
        <v>105</v>
      </c>
      <c r="T85" s="21">
        <v>0</v>
      </c>
      <c r="U85" s="149">
        <f>(10000+IF(N85="Oui",4000,0)+IF(O85="Oui",8000,0)+IF(P85="Oui",16000,0)+IF(Q85="Oui",20000,0))*V85*(1-T85)</f>
        <v>0</v>
      </c>
      <c r="V85" s="146">
        <f t="shared" si="55"/>
        <v>0</v>
      </c>
    </row>
    <row r="86" spans="1:22" x14ac:dyDescent="0.25">
      <c r="A86" s="4" t="s">
        <v>62</v>
      </c>
      <c r="B86" s="68">
        <f t="shared" si="60"/>
        <v>0</v>
      </c>
      <c r="C86" s="77">
        <v>8</v>
      </c>
      <c r="D86" s="85">
        <f t="shared" si="57"/>
        <v>0</v>
      </c>
      <c r="E86" s="86">
        <v>12</v>
      </c>
      <c r="F86" s="85"/>
      <c r="G86" s="86"/>
      <c r="H86" s="81">
        <f t="shared" si="59"/>
        <v>0</v>
      </c>
      <c r="I86" s="69">
        <v>4</v>
      </c>
      <c r="J86" s="47"/>
      <c r="K86" s="49"/>
      <c r="L86" s="44" t="s">
        <v>165</v>
      </c>
      <c r="M86" s="49"/>
      <c r="N86" s="60"/>
      <c r="O86" s="49"/>
      <c r="P86" s="49"/>
      <c r="Q86" s="49"/>
      <c r="R86" s="41">
        <f t="shared" si="56"/>
        <v>4</v>
      </c>
      <c r="S86" s="23" t="s">
        <v>105</v>
      </c>
      <c r="T86" s="21">
        <v>0</v>
      </c>
      <c r="U86" s="149">
        <f>(10000+IF(N86="Oui",4000,0)+IF(O86="Oui",8000,0)+IF(P86="Oui",16000,0)+IF(Q86="Oui",20000,0))*V86*(1-T86)</f>
        <v>0</v>
      </c>
      <c r="V86" s="146">
        <f t="shared" si="55"/>
        <v>0</v>
      </c>
    </row>
    <row r="87" spans="1:22" x14ac:dyDescent="0.25">
      <c r="A87" s="4" t="s">
        <v>63</v>
      </c>
      <c r="B87" s="68">
        <f t="shared" si="60"/>
        <v>0</v>
      </c>
      <c r="C87" s="77">
        <v>8</v>
      </c>
      <c r="D87" s="85">
        <f t="shared" si="57"/>
        <v>0</v>
      </c>
      <c r="E87" s="86">
        <v>12</v>
      </c>
      <c r="F87" s="85"/>
      <c r="G87" s="86"/>
      <c r="H87" s="81">
        <f t="shared" si="59"/>
        <v>0</v>
      </c>
      <c r="I87" s="69">
        <v>4</v>
      </c>
      <c r="J87" s="47"/>
      <c r="K87" s="49"/>
      <c r="L87" s="44" t="s">
        <v>165</v>
      </c>
      <c r="M87" s="49"/>
      <c r="N87" s="60"/>
      <c r="O87" s="49"/>
      <c r="P87" s="49"/>
      <c r="Q87" s="49"/>
      <c r="R87" s="41">
        <f t="shared" si="56"/>
        <v>4</v>
      </c>
      <c r="S87" s="23" t="s">
        <v>105</v>
      </c>
      <c r="T87" s="21">
        <v>0</v>
      </c>
      <c r="U87" s="149">
        <f>(10000+IF(N87="Oui",4000,0)+IF(O87="Oui",8000,0)+IF(P87="Oui",16000,0)+IF(Q87="Oui",20000,0))*V87*(1-T87)</f>
        <v>0</v>
      </c>
      <c r="V87" s="146">
        <f t="shared" si="55"/>
        <v>0</v>
      </c>
    </row>
    <row r="88" spans="1:22" ht="15.75" thickBot="1" x14ac:dyDescent="0.3">
      <c r="A88" s="4" t="s">
        <v>64</v>
      </c>
      <c r="B88" s="72">
        <f t="shared" si="60"/>
        <v>0</v>
      </c>
      <c r="C88" s="79">
        <v>8</v>
      </c>
      <c r="D88" s="89">
        <f t="shared" si="57"/>
        <v>0</v>
      </c>
      <c r="E88" s="90">
        <v>12</v>
      </c>
      <c r="F88" s="85"/>
      <c r="G88" s="90"/>
      <c r="H88" s="81">
        <f t="shared" si="59"/>
        <v>0</v>
      </c>
      <c r="I88" s="73">
        <v>4</v>
      </c>
      <c r="J88" s="47"/>
      <c r="K88" s="49"/>
      <c r="L88" s="44" t="s">
        <v>165</v>
      </c>
      <c r="M88" s="49"/>
      <c r="N88" s="61"/>
      <c r="O88" s="53"/>
      <c r="P88" s="53"/>
      <c r="Q88" s="53"/>
      <c r="R88" s="42">
        <f t="shared" si="56"/>
        <v>4</v>
      </c>
      <c r="S88" s="23" t="s">
        <v>105</v>
      </c>
      <c r="T88" s="21">
        <v>0</v>
      </c>
      <c r="U88" s="149">
        <f>(10000+IF(N88="Oui",4000,0)+IF(O88="Oui",8000,0)+IF(P88="Oui",16000,0)+IF(Q88="Oui",20000,0))*V88*(1-T88)</f>
        <v>0</v>
      </c>
      <c r="V88" s="146">
        <f t="shared" si="55"/>
        <v>0</v>
      </c>
    </row>
    <row r="89" spans="1:22" ht="15.75" thickBot="1" x14ac:dyDescent="0.3">
      <c r="A89" s="33" t="s">
        <v>65</v>
      </c>
      <c r="B89" s="99" t="str">
        <f>B$26</f>
        <v>Nourriture</v>
      </c>
      <c r="C89" s="100"/>
      <c r="D89" s="101" t="str">
        <f>D$26</f>
        <v>Bois</v>
      </c>
      <c r="E89" s="102"/>
      <c r="F89" s="101" t="str">
        <f t="shared" ref="F89" si="61">F$26</f>
        <v>Fer</v>
      </c>
      <c r="G89" s="102"/>
      <c r="H89" s="100" t="str">
        <f t="shared" ref="H89" si="62">H$26</f>
        <v>Gemmes</v>
      </c>
      <c r="I89" s="103"/>
      <c r="J89" s="6" t="str">
        <f>J$26</f>
        <v>Ferme</v>
      </c>
      <c r="K89" s="6" t="str">
        <f t="shared" ref="K89:Q89" si="63">K$26</f>
        <v>Scierie</v>
      </c>
      <c r="L89" s="6" t="str">
        <f t="shared" si="63"/>
        <v>Mine</v>
      </c>
      <c r="M89" s="36" t="str">
        <f t="shared" si="63"/>
        <v>Guilde Mages</v>
      </c>
      <c r="N89" s="6" t="str">
        <f t="shared" si="63"/>
        <v>Comptoir</v>
      </c>
      <c r="O89" s="6" t="str">
        <f t="shared" si="63"/>
        <v>Marché</v>
      </c>
      <c r="P89" s="6" t="str">
        <f t="shared" si="63"/>
        <v>Banque</v>
      </c>
      <c r="Q89" s="6" t="str">
        <f t="shared" si="63"/>
        <v>Palais</v>
      </c>
      <c r="R89" s="28"/>
      <c r="S89" s="3"/>
      <c r="T89" s="3"/>
      <c r="U89" s="150"/>
      <c r="V89" s="62"/>
    </row>
    <row r="90" spans="1:22" x14ac:dyDescent="0.25">
      <c r="A90" s="4" t="s">
        <v>66</v>
      </c>
      <c r="B90" s="66">
        <f>TRUNC(C90*V90*(1-T90)*IF(J90="Oui - niveau 1",1,IF(J90="Oui - niveau 2",1.25,IF(J90="Oui - niveau 3",1.5,0))))</f>
        <v>0</v>
      </c>
      <c r="C90" s="76">
        <v>4</v>
      </c>
      <c r="D90" s="83"/>
      <c r="E90" s="84"/>
      <c r="F90" s="85">
        <f>TRUNC(G90*V90*(1-T90)*IF(L90="Oui - niveau 1",1,IF(L90="Oui - niveau 2",1.25,IF(L90="Oui - niveau 3",1.5,0))))</f>
        <v>0</v>
      </c>
      <c r="G90" s="84">
        <v>12</v>
      </c>
      <c r="H90" s="81">
        <f>TRUNC(I90*V90*(1-T90)*IF(M90="Oui - niveau 1",1,IF(M90="Oui - niveau 2",1.25,IF(M90="Oui - niveau 3",1.5,0))))</f>
        <v>0</v>
      </c>
      <c r="I90" s="67">
        <v>8</v>
      </c>
      <c r="J90" s="43"/>
      <c r="K90" s="44" t="s">
        <v>165</v>
      </c>
      <c r="L90" s="49"/>
      <c r="M90" s="49"/>
      <c r="N90" s="59"/>
      <c r="O90" s="46"/>
      <c r="P90" s="46"/>
      <c r="Q90" s="46"/>
      <c r="R90" s="40">
        <f>IF(Q90="Oui",7,4)</f>
        <v>4</v>
      </c>
      <c r="S90" s="23" t="s">
        <v>105</v>
      </c>
      <c r="T90" s="20">
        <v>0</v>
      </c>
      <c r="U90" s="148">
        <f>(IF(G$6="Morrowind",30000,10000)+IF(N90="Oui",4000,0)+IF(O90="Oui",8000,0)+IF(P90="Oui",16000,0)+IF(Q90="Oui",20000,0))*V90*(1-T90)</f>
        <v>0</v>
      </c>
      <c r="V90" s="145">
        <f t="shared" ref="V90:V97" si="64">IF(S90="Possédée",1,IF(S90="Assiégée",0.5,0))</f>
        <v>0</v>
      </c>
    </row>
    <row r="91" spans="1:22" x14ac:dyDescent="0.25">
      <c r="A91" s="4" t="s">
        <v>67</v>
      </c>
      <c r="B91" s="68"/>
      <c r="C91" s="77"/>
      <c r="D91" s="85">
        <f>TRUNC(E91*V91*(1-T91)*IF(K91="Oui - niveau 1",1,IF(K91="Oui - niveau 2",1.25,IF(K91="Oui - niveau 3",1.5,0))))</f>
        <v>0</v>
      </c>
      <c r="E91" s="86">
        <v>8</v>
      </c>
      <c r="F91" s="85">
        <f>TRUNC(G91*V91*(1-T91)*IF(L91="Oui - niveau 1",1,IF(L91="Oui - niveau 2",1.25,IF(L91="Oui - niveau 3",1.5,0))))</f>
        <v>0</v>
      </c>
      <c r="G91" s="86">
        <v>12</v>
      </c>
      <c r="H91" s="81">
        <f>TRUNC(I91*V91*(1-T91)*IF(M91="Oui - niveau 1",1,IF(M91="Oui - niveau 2",1.25,IF(M91="Oui - niveau 3",1.5,0))))</f>
        <v>0</v>
      </c>
      <c r="I91" s="69">
        <v>4</v>
      </c>
      <c r="J91" s="44" t="s">
        <v>165</v>
      </c>
      <c r="K91" s="49"/>
      <c r="L91" s="49"/>
      <c r="M91" s="49"/>
      <c r="N91" s="60"/>
      <c r="O91" s="49"/>
      <c r="P91" s="49"/>
      <c r="Q91" s="49"/>
      <c r="R91" s="41">
        <f t="shared" ref="R91:R97" si="65">IF(Q91="Oui",7,4)</f>
        <v>4</v>
      </c>
      <c r="S91" s="23" t="s">
        <v>105</v>
      </c>
      <c r="T91" s="21">
        <v>0</v>
      </c>
      <c r="U91" s="149">
        <f>(10000+IF(N91="Oui",4000,0)+IF(O91="Oui",8000,0)+IF(P91="Oui",16000,0)+IF(Q91="Oui",20000,0))*V91*(1-T91)</f>
        <v>0</v>
      </c>
      <c r="V91" s="146">
        <f t="shared" si="64"/>
        <v>0</v>
      </c>
    </row>
    <row r="92" spans="1:22" x14ac:dyDescent="0.25">
      <c r="A92" s="4" t="s">
        <v>68</v>
      </c>
      <c r="B92" s="68"/>
      <c r="C92" s="77"/>
      <c r="D92" s="85">
        <f t="shared" ref="D92:D93" si="66">TRUNC(E92*V92*(1-T92)*IF(K92="Oui - niveau 1",1,IF(K92="Oui - niveau 2",1.25,IF(K92="Oui - niveau 3",1.5,0))))</f>
        <v>0</v>
      </c>
      <c r="E92" s="86">
        <v>4</v>
      </c>
      <c r="F92" s="85">
        <f t="shared" ref="F92:F97" si="67">TRUNC(G92*V92*(1-T92)*IF(L92="Oui - niveau 1",1,IF(L92="Oui - niveau 2",1.25,IF(L92="Oui - niveau 3",1.5,0))))</f>
        <v>0</v>
      </c>
      <c r="G92" s="86">
        <v>12</v>
      </c>
      <c r="H92" s="81">
        <f t="shared" ref="H92:H97" si="68">TRUNC(I92*V92*(1-T92)*IF(M92="Oui - niveau 1",1,IF(M92="Oui - niveau 2",1.25,IF(M92="Oui - niveau 3",1.5,0))))</f>
        <v>0</v>
      </c>
      <c r="I92" s="69">
        <v>8</v>
      </c>
      <c r="J92" s="44" t="s">
        <v>165</v>
      </c>
      <c r="K92" s="49"/>
      <c r="L92" s="49"/>
      <c r="M92" s="49"/>
      <c r="N92" s="60"/>
      <c r="O92" s="49"/>
      <c r="P92" s="49"/>
      <c r="Q92" s="49"/>
      <c r="R92" s="41">
        <f t="shared" si="65"/>
        <v>4</v>
      </c>
      <c r="S92" s="23" t="s">
        <v>105</v>
      </c>
      <c r="T92" s="21">
        <v>0</v>
      </c>
      <c r="U92" s="149">
        <f>(10000+IF(N92="Oui",4000,0)+IF(O92="Oui",8000,0)+IF(P92="Oui",16000,0)+IF(Q92="Oui",20000,0))*V92*(1-T92)</f>
        <v>0</v>
      </c>
      <c r="V92" s="146">
        <f t="shared" si="64"/>
        <v>0</v>
      </c>
    </row>
    <row r="93" spans="1:22" x14ac:dyDescent="0.25">
      <c r="A93" s="4" t="s">
        <v>69</v>
      </c>
      <c r="B93" s="68">
        <f t="shared" ref="B93:B97" si="69">TRUNC(C93*V93*(1-T93)*IF(J93="Oui - niveau 1",1,IF(J93="Oui - niveau 2",1.25,IF(J93="Oui - niveau 3",1.5,0))))</f>
        <v>0</v>
      </c>
      <c r="C93" s="77">
        <v>8</v>
      </c>
      <c r="D93" s="85">
        <f t="shared" si="66"/>
        <v>0</v>
      </c>
      <c r="E93" s="86">
        <v>4</v>
      </c>
      <c r="F93" s="85">
        <f t="shared" si="67"/>
        <v>0</v>
      </c>
      <c r="G93" s="86">
        <v>12</v>
      </c>
      <c r="H93" s="81"/>
      <c r="I93" s="69"/>
      <c r="J93" s="47"/>
      <c r="K93" s="49"/>
      <c r="L93" s="49"/>
      <c r="M93" s="44" t="s">
        <v>165</v>
      </c>
      <c r="N93" s="60"/>
      <c r="O93" s="49"/>
      <c r="P93" s="49"/>
      <c r="Q93" s="49"/>
      <c r="R93" s="41">
        <f t="shared" si="65"/>
        <v>4</v>
      </c>
      <c r="S93" s="23" t="s">
        <v>105</v>
      </c>
      <c r="T93" s="21">
        <v>0</v>
      </c>
      <c r="U93" s="149">
        <f>(10000+IF(N93="Oui",4000,0)+IF(O93="Oui",8000,0)+IF(P93="Oui",16000,0)+IF(Q93="Oui",20000,0))*V93*(1-T93)</f>
        <v>0</v>
      </c>
      <c r="V93" s="146">
        <f t="shared" si="64"/>
        <v>0</v>
      </c>
    </row>
    <row r="94" spans="1:22" x14ac:dyDescent="0.25">
      <c r="A94" s="4" t="s">
        <v>70</v>
      </c>
      <c r="B94" s="68">
        <f t="shared" si="69"/>
        <v>0</v>
      </c>
      <c r="C94" s="77">
        <v>4</v>
      </c>
      <c r="D94" s="85"/>
      <c r="E94" s="86"/>
      <c r="F94" s="85">
        <f t="shared" si="67"/>
        <v>0</v>
      </c>
      <c r="G94" s="86">
        <v>12</v>
      </c>
      <c r="H94" s="81">
        <f t="shared" si="68"/>
        <v>0</v>
      </c>
      <c r="I94" s="69">
        <v>8</v>
      </c>
      <c r="J94" s="47"/>
      <c r="K94" s="44" t="s">
        <v>165</v>
      </c>
      <c r="L94" s="49"/>
      <c r="M94" s="49"/>
      <c r="N94" s="60"/>
      <c r="O94" s="49"/>
      <c r="P94" s="49"/>
      <c r="Q94" s="49"/>
      <c r="R94" s="41">
        <f t="shared" si="65"/>
        <v>4</v>
      </c>
      <c r="S94" s="23" t="s">
        <v>105</v>
      </c>
      <c r="T94" s="21">
        <v>0</v>
      </c>
      <c r="U94" s="149">
        <f>(10000+IF(N94="Oui",4000,0)+IF(O94="Oui",8000,0)+IF(P94="Oui",16000,0)+IF(Q94="Oui",20000,0))*V94*(1-T94)</f>
        <v>0</v>
      </c>
      <c r="V94" s="146">
        <f t="shared" si="64"/>
        <v>0</v>
      </c>
    </row>
    <row r="95" spans="1:22" x14ac:dyDescent="0.25">
      <c r="A95" s="4" t="s">
        <v>71</v>
      </c>
      <c r="B95" s="68">
        <f t="shared" si="69"/>
        <v>0</v>
      </c>
      <c r="C95" s="77">
        <v>4</v>
      </c>
      <c r="D95" s="85"/>
      <c r="E95" s="86"/>
      <c r="F95" s="85">
        <f t="shared" si="67"/>
        <v>0</v>
      </c>
      <c r="G95" s="86">
        <v>12</v>
      </c>
      <c r="H95" s="81">
        <f t="shared" si="68"/>
        <v>0</v>
      </c>
      <c r="I95" s="69">
        <v>8</v>
      </c>
      <c r="J95" s="47"/>
      <c r="K95" s="44" t="s">
        <v>165</v>
      </c>
      <c r="L95" s="49"/>
      <c r="M95" s="49"/>
      <c r="N95" s="60"/>
      <c r="O95" s="49"/>
      <c r="P95" s="49"/>
      <c r="Q95" s="49"/>
      <c r="R95" s="41">
        <f t="shared" si="65"/>
        <v>4</v>
      </c>
      <c r="S95" s="23" t="s">
        <v>105</v>
      </c>
      <c r="T95" s="21">
        <v>0</v>
      </c>
      <c r="U95" s="149">
        <f>(10000+IF(N95="Oui",4000,0)+IF(O95="Oui",8000,0)+IF(P95="Oui",16000,0)+IF(Q95="Oui",20000,0))*V95*(1-T95)</f>
        <v>0</v>
      </c>
      <c r="V95" s="146">
        <f t="shared" si="64"/>
        <v>0</v>
      </c>
    </row>
    <row r="96" spans="1:22" x14ac:dyDescent="0.25">
      <c r="A96" s="4" t="s">
        <v>72</v>
      </c>
      <c r="B96" s="68">
        <f t="shared" si="69"/>
        <v>0</v>
      </c>
      <c r="C96" s="77">
        <v>4</v>
      </c>
      <c r="D96" s="85"/>
      <c r="E96" s="86"/>
      <c r="F96" s="85">
        <f t="shared" si="67"/>
        <v>0</v>
      </c>
      <c r="G96" s="86">
        <v>12</v>
      </c>
      <c r="H96" s="81">
        <f t="shared" si="68"/>
        <v>0</v>
      </c>
      <c r="I96" s="69">
        <v>8</v>
      </c>
      <c r="J96" s="47"/>
      <c r="K96" s="44" t="s">
        <v>165</v>
      </c>
      <c r="L96" s="49"/>
      <c r="M96" s="49"/>
      <c r="N96" s="60"/>
      <c r="O96" s="49"/>
      <c r="P96" s="49"/>
      <c r="Q96" s="49"/>
      <c r="R96" s="41">
        <f t="shared" si="65"/>
        <v>4</v>
      </c>
      <c r="S96" s="23" t="s">
        <v>105</v>
      </c>
      <c r="T96" s="21">
        <v>0</v>
      </c>
      <c r="U96" s="149">
        <f>(10000+IF(N96="Oui",4000,0)+IF(O96="Oui",8000,0)+IF(P96="Oui",16000,0)+IF(Q96="Oui",20000,0))*V96*(1-T96)</f>
        <v>0</v>
      </c>
      <c r="V96" s="146">
        <f t="shared" si="64"/>
        <v>0</v>
      </c>
    </row>
    <row r="97" spans="1:22" ht="15.75" thickBot="1" x14ac:dyDescent="0.3">
      <c r="A97" s="4" t="s">
        <v>73</v>
      </c>
      <c r="B97" s="72">
        <f t="shared" si="69"/>
        <v>0</v>
      </c>
      <c r="C97" s="79">
        <v>8</v>
      </c>
      <c r="D97" s="89"/>
      <c r="E97" s="90"/>
      <c r="F97" s="85">
        <f t="shared" si="67"/>
        <v>0</v>
      </c>
      <c r="G97" s="90">
        <v>12</v>
      </c>
      <c r="H97" s="81">
        <f t="shared" si="68"/>
        <v>0</v>
      </c>
      <c r="I97" s="73">
        <v>4</v>
      </c>
      <c r="J97" s="47"/>
      <c r="K97" s="44" t="s">
        <v>165</v>
      </c>
      <c r="L97" s="49"/>
      <c r="M97" s="49"/>
      <c r="N97" s="61"/>
      <c r="O97" s="53"/>
      <c r="P97" s="53"/>
      <c r="Q97" s="53"/>
      <c r="R97" s="42">
        <f t="shared" si="65"/>
        <v>4</v>
      </c>
      <c r="S97" s="23" t="s">
        <v>105</v>
      </c>
      <c r="T97" s="21">
        <v>0</v>
      </c>
      <c r="U97" s="149">
        <f>(10000+IF(N97="Oui",4000,0)+IF(O97="Oui",8000,0)+IF(P97="Oui",16000,0)+IF(Q97="Oui",20000,0))*V97*(1-T97)</f>
        <v>0</v>
      </c>
      <c r="V97" s="146">
        <f t="shared" si="64"/>
        <v>0</v>
      </c>
    </row>
    <row r="98" spans="1:22" ht="15.75" thickBot="1" x14ac:dyDescent="0.3">
      <c r="A98" s="33" t="s">
        <v>74</v>
      </c>
      <c r="B98" s="99" t="str">
        <f>B$26</f>
        <v>Nourriture</v>
      </c>
      <c r="C98" s="100"/>
      <c r="D98" s="101" t="str">
        <f>D$26</f>
        <v>Bois</v>
      </c>
      <c r="E98" s="102"/>
      <c r="F98" s="101" t="str">
        <f t="shared" ref="F98" si="70">F$26</f>
        <v>Fer</v>
      </c>
      <c r="G98" s="102"/>
      <c r="H98" s="100" t="str">
        <f t="shared" ref="H98" si="71">H$26</f>
        <v>Gemmes</v>
      </c>
      <c r="I98" s="103"/>
      <c r="J98" s="6" t="str">
        <f>J$26</f>
        <v>Ferme</v>
      </c>
      <c r="K98" s="6" t="str">
        <f t="shared" ref="K98:Q98" si="72">K$26</f>
        <v>Scierie</v>
      </c>
      <c r="L98" s="6" t="str">
        <f t="shared" si="72"/>
        <v>Mine</v>
      </c>
      <c r="M98" s="36" t="str">
        <f t="shared" si="72"/>
        <v>Guilde Mages</v>
      </c>
      <c r="N98" s="6" t="str">
        <f t="shared" si="72"/>
        <v>Comptoir</v>
      </c>
      <c r="O98" s="6" t="str">
        <f t="shared" si="72"/>
        <v>Marché</v>
      </c>
      <c r="P98" s="6" t="str">
        <f t="shared" si="72"/>
        <v>Banque</v>
      </c>
      <c r="Q98" s="6" t="str">
        <f t="shared" si="72"/>
        <v>Palais</v>
      </c>
      <c r="R98" s="28"/>
      <c r="S98" s="3"/>
      <c r="T98" s="3"/>
      <c r="U98" s="150"/>
      <c r="V98" s="62"/>
    </row>
    <row r="99" spans="1:22" x14ac:dyDescent="0.25">
      <c r="A99" s="4" t="s">
        <v>75</v>
      </c>
      <c r="B99" s="66">
        <f>TRUNC(C99*V99*(1-T99)*IF(J99="Oui - niveau 1",1,IF(J99="Oui - niveau 2",1.25,IF(J99="Oui - niveau 3",1.5,0))))</f>
        <v>0</v>
      </c>
      <c r="C99" s="76">
        <v>12</v>
      </c>
      <c r="D99" s="83"/>
      <c r="E99" s="84"/>
      <c r="F99" s="85">
        <f>TRUNC(G99*V99*(1-T99)*IF(L99="Oui - niveau 1",1,IF(L99="Oui - niveau 2",1.25,IF(L99="Oui - niveau 3",1.5,0))))</f>
        <v>0</v>
      </c>
      <c r="G99" s="84">
        <v>4</v>
      </c>
      <c r="H99" s="81">
        <f>TRUNC(I99*V99*(1-T99)*IF(M99="Oui - niveau 1",1,IF(M99="Oui - niveau 2",1.25,IF(M99="Oui - niveau 3",1.5,0))))</f>
        <v>0</v>
      </c>
      <c r="I99" s="67">
        <v>8</v>
      </c>
      <c r="J99" s="43"/>
      <c r="K99" s="44" t="s">
        <v>165</v>
      </c>
      <c r="L99" s="46"/>
      <c r="M99" s="55"/>
      <c r="N99" s="59"/>
      <c r="O99" s="46"/>
      <c r="P99" s="46"/>
      <c r="Q99" s="46"/>
      <c r="R99" s="40">
        <f>IF(Q99="Oui",7,4)</f>
        <v>4</v>
      </c>
      <c r="S99" s="23" t="s">
        <v>105</v>
      </c>
      <c r="T99" s="20">
        <v>0</v>
      </c>
      <c r="U99" s="148">
        <f>(IF(G$6="Val-Boisé",30000,10000)+IF(N99="Oui",4000,0)+IF(O99="Oui",8000,0)+IF(P99="Oui",16000,0)+IF(Q99="Oui",20000,0))*V99*(1-T99)</f>
        <v>0</v>
      </c>
      <c r="V99" s="145">
        <f t="shared" ref="V99:V106" si="73">IF(S99="Possédée",1,IF(S99="Assiégée",0.5,0))</f>
        <v>0</v>
      </c>
    </row>
    <row r="100" spans="1:22" x14ac:dyDescent="0.25">
      <c r="A100" s="4" t="s">
        <v>76</v>
      </c>
      <c r="B100" s="68">
        <f>TRUNC(C100*V100*(1-T100)*IF(J100="Oui - niveau 1",1,IF(J100="Oui - niveau 2",1.25,IF(J100="Oui - niveau 3",1.5,0))))</f>
        <v>0</v>
      </c>
      <c r="C100" s="77">
        <v>12</v>
      </c>
      <c r="D100" s="85">
        <f>TRUNC(E100*V100*(1-T100)*IF(K100="Oui - niveau 1",1,IF(K100="Oui - niveau 2",1.25,IF(K100="Oui - niveau 3",1.5,0))))</f>
        <v>0</v>
      </c>
      <c r="E100" s="86">
        <v>8</v>
      </c>
      <c r="F100" s="85"/>
      <c r="G100" s="86"/>
      <c r="H100" s="81">
        <f>TRUNC(I100*V100*(1-T100)*IF(M100="Oui - niveau 1",1,IF(M100="Oui - niveau 2",1.25,IF(M100="Oui - niveau 3",1.5,0))))</f>
        <v>0</v>
      </c>
      <c r="I100" s="69">
        <v>4</v>
      </c>
      <c r="J100" s="47"/>
      <c r="K100" s="49"/>
      <c r="L100" s="44" t="s">
        <v>165</v>
      </c>
      <c r="M100" s="49"/>
      <c r="N100" s="60"/>
      <c r="O100" s="49"/>
      <c r="P100" s="49"/>
      <c r="Q100" s="49"/>
      <c r="R100" s="41">
        <f t="shared" ref="R100:R106" si="74">IF(Q100="Oui",7,4)</f>
        <v>4</v>
      </c>
      <c r="S100" s="23" t="s">
        <v>105</v>
      </c>
      <c r="T100" s="21">
        <v>0</v>
      </c>
      <c r="U100" s="149">
        <f>(10000+IF(N100="Oui",4000,0)+IF(O100="Oui",8000,0)+IF(P100="Oui",16000,0)+IF(Q100="Oui",20000,0))*V100*(1-T100)</f>
        <v>0</v>
      </c>
      <c r="V100" s="146">
        <f t="shared" si="73"/>
        <v>0</v>
      </c>
    </row>
    <row r="101" spans="1:22" x14ac:dyDescent="0.25">
      <c r="A101" s="4" t="s">
        <v>77</v>
      </c>
      <c r="B101" s="68">
        <f t="shared" ref="B101:B110" si="75">TRUNC(C101*V101*(1-T101)*IF(J101="Oui - niveau 1",1,IF(J101="Oui - niveau 2",1.25,IF(J101="Oui - niveau 3",1.5,0))))</f>
        <v>0</v>
      </c>
      <c r="C101" s="77">
        <v>12</v>
      </c>
      <c r="D101" s="85">
        <f t="shared" ref="D101:D106" si="76">TRUNC(E101*V101*(1-T101)*IF(K101="Oui - niveau 1",1,IF(K101="Oui - niveau 2",1.25,IF(K101="Oui - niveau 3",1.5,0))))</f>
        <v>0</v>
      </c>
      <c r="E101" s="86">
        <v>8</v>
      </c>
      <c r="F101" s="85"/>
      <c r="G101" s="86"/>
      <c r="H101" s="81">
        <f t="shared" ref="H101:H106" si="77">TRUNC(I101*V101*(1-T101)*IF(M101="Oui - niveau 1",1,IF(M101="Oui - niveau 2",1.25,IF(M101="Oui - niveau 3",1.5,0))))</f>
        <v>0</v>
      </c>
      <c r="I101" s="69">
        <v>4</v>
      </c>
      <c r="J101" s="47"/>
      <c r="K101" s="49"/>
      <c r="L101" s="44" t="s">
        <v>165</v>
      </c>
      <c r="M101" s="49"/>
      <c r="N101" s="60"/>
      <c r="O101" s="49"/>
      <c r="P101" s="49"/>
      <c r="Q101" s="49"/>
      <c r="R101" s="41">
        <f t="shared" si="74"/>
        <v>4</v>
      </c>
      <c r="S101" s="23" t="s">
        <v>105</v>
      </c>
      <c r="T101" s="21">
        <v>0</v>
      </c>
      <c r="U101" s="149">
        <f>(10000+IF(N101="Oui",4000,0)+IF(O101="Oui",8000,0)+IF(P101="Oui",16000,0)+IF(Q101="Oui",20000,0))*V101*(1-T101)</f>
        <v>0</v>
      </c>
      <c r="V101" s="146">
        <f t="shared" si="73"/>
        <v>0</v>
      </c>
    </row>
    <row r="102" spans="1:22" x14ac:dyDescent="0.25">
      <c r="A102" s="4" t="s">
        <v>78</v>
      </c>
      <c r="B102" s="68">
        <f t="shared" si="75"/>
        <v>0</v>
      </c>
      <c r="C102" s="77">
        <v>12</v>
      </c>
      <c r="D102" s="85"/>
      <c r="E102" s="86"/>
      <c r="F102" s="85">
        <f t="shared" ref="F102:F103" si="78">TRUNC(G102*V102*(1-T102)*IF(L102="Oui - niveau 1",1,IF(L102="Oui - niveau 2",1.25,IF(L102="Oui - niveau 3",1.5,0))))</f>
        <v>0</v>
      </c>
      <c r="G102" s="86">
        <v>4</v>
      </c>
      <c r="H102" s="81">
        <f t="shared" si="77"/>
        <v>0</v>
      </c>
      <c r="I102" s="69">
        <v>8</v>
      </c>
      <c r="J102" s="47"/>
      <c r="K102" s="44" t="s">
        <v>165</v>
      </c>
      <c r="L102" s="49"/>
      <c r="M102" s="49"/>
      <c r="N102" s="60"/>
      <c r="O102" s="49"/>
      <c r="P102" s="49"/>
      <c r="Q102" s="49"/>
      <c r="R102" s="41">
        <f t="shared" si="74"/>
        <v>4</v>
      </c>
      <c r="S102" s="23" t="s">
        <v>105</v>
      </c>
      <c r="T102" s="21">
        <v>0</v>
      </c>
      <c r="U102" s="149">
        <f>(10000+IF(N102="Oui",4000,0)+IF(O102="Oui",8000,0)+IF(P102="Oui",16000,0)+IF(Q102="Oui",20000,0))*V102*(1-T102)</f>
        <v>0</v>
      </c>
      <c r="V102" s="146">
        <f t="shared" si="73"/>
        <v>0</v>
      </c>
    </row>
    <row r="103" spans="1:22" x14ac:dyDescent="0.25">
      <c r="A103" s="4" t="s">
        <v>79</v>
      </c>
      <c r="B103" s="68">
        <f t="shared" si="75"/>
        <v>0</v>
      </c>
      <c r="C103" s="77">
        <v>12</v>
      </c>
      <c r="D103" s="85">
        <f t="shared" si="76"/>
        <v>0</v>
      </c>
      <c r="E103" s="86">
        <v>4</v>
      </c>
      <c r="F103" s="85">
        <f t="shared" si="78"/>
        <v>0</v>
      </c>
      <c r="G103" s="86">
        <v>8</v>
      </c>
      <c r="H103" s="81"/>
      <c r="I103" s="69"/>
      <c r="J103" s="47"/>
      <c r="K103" s="49"/>
      <c r="L103" s="49"/>
      <c r="M103" s="44" t="s">
        <v>165</v>
      </c>
      <c r="N103" s="60"/>
      <c r="O103" s="49"/>
      <c r="P103" s="49"/>
      <c r="Q103" s="49"/>
      <c r="R103" s="41">
        <f t="shared" si="74"/>
        <v>4</v>
      </c>
      <c r="S103" s="23" t="s">
        <v>105</v>
      </c>
      <c r="T103" s="21">
        <v>0</v>
      </c>
      <c r="U103" s="149">
        <f>(10000+IF(N103="Oui",4000,0)+IF(O103="Oui",8000,0)+IF(P103="Oui",16000,0)+IF(Q103="Oui",20000,0))*V103*(1-T103)</f>
        <v>0</v>
      </c>
      <c r="V103" s="146">
        <f t="shared" si="73"/>
        <v>0</v>
      </c>
    </row>
    <row r="104" spans="1:22" x14ac:dyDescent="0.25">
      <c r="A104" s="4" t="s">
        <v>80</v>
      </c>
      <c r="B104" s="68">
        <f t="shared" si="75"/>
        <v>0</v>
      </c>
      <c r="C104" s="77">
        <v>12</v>
      </c>
      <c r="D104" s="85">
        <f t="shared" si="76"/>
        <v>0</v>
      </c>
      <c r="E104" s="86">
        <v>4</v>
      </c>
      <c r="F104" s="85"/>
      <c r="G104" s="86"/>
      <c r="H104" s="81">
        <f t="shared" si="77"/>
        <v>0</v>
      </c>
      <c r="I104" s="69">
        <v>8</v>
      </c>
      <c r="J104" s="47"/>
      <c r="K104" s="49"/>
      <c r="L104" s="44" t="s">
        <v>165</v>
      </c>
      <c r="M104" s="49"/>
      <c r="N104" s="60"/>
      <c r="O104" s="49"/>
      <c r="P104" s="49"/>
      <c r="Q104" s="49"/>
      <c r="R104" s="41">
        <f t="shared" si="74"/>
        <v>4</v>
      </c>
      <c r="S104" s="23" t="s">
        <v>105</v>
      </c>
      <c r="T104" s="21">
        <v>0</v>
      </c>
      <c r="U104" s="149">
        <f>(10000+IF(N104="Oui",4000,0)+IF(O104="Oui",8000,0)+IF(P104="Oui",16000,0)+IF(Q104="Oui",20000,0))*V104*(1-T104)</f>
        <v>0</v>
      </c>
      <c r="V104" s="146">
        <f t="shared" si="73"/>
        <v>0</v>
      </c>
    </row>
    <row r="105" spans="1:22" x14ac:dyDescent="0.25">
      <c r="A105" s="4" t="s">
        <v>81</v>
      </c>
      <c r="B105" s="68">
        <f t="shared" si="75"/>
        <v>0</v>
      </c>
      <c r="C105" s="77">
        <v>12</v>
      </c>
      <c r="D105" s="85">
        <f t="shared" si="76"/>
        <v>0</v>
      </c>
      <c r="E105" s="86">
        <v>8</v>
      </c>
      <c r="F105" s="85"/>
      <c r="G105" s="86"/>
      <c r="H105" s="81">
        <f t="shared" si="77"/>
        <v>0</v>
      </c>
      <c r="I105" s="69">
        <v>4</v>
      </c>
      <c r="J105" s="47"/>
      <c r="K105" s="49"/>
      <c r="L105" s="44" t="s">
        <v>165</v>
      </c>
      <c r="M105" s="49"/>
      <c r="N105" s="60"/>
      <c r="O105" s="49"/>
      <c r="P105" s="49"/>
      <c r="Q105" s="49"/>
      <c r="R105" s="41">
        <f t="shared" si="74"/>
        <v>4</v>
      </c>
      <c r="S105" s="23" t="s">
        <v>105</v>
      </c>
      <c r="T105" s="21">
        <v>0</v>
      </c>
      <c r="U105" s="149">
        <f>(10000+IF(N105="Oui",4000,0)+IF(O105="Oui",8000,0)+IF(P105="Oui",16000,0)+IF(Q105="Oui",20000,0))*V105*(1-T105)</f>
        <v>0</v>
      </c>
      <c r="V105" s="146">
        <f t="shared" si="73"/>
        <v>0</v>
      </c>
    </row>
    <row r="106" spans="1:22" ht="15.75" thickBot="1" x14ac:dyDescent="0.3">
      <c r="A106" s="4" t="s">
        <v>82</v>
      </c>
      <c r="B106" s="72">
        <f t="shared" si="75"/>
        <v>0</v>
      </c>
      <c r="C106" s="79">
        <v>12</v>
      </c>
      <c r="D106" s="89">
        <f t="shared" si="76"/>
        <v>0</v>
      </c>
      <c r="E106" s="90">
        <v>4</v>
      </c>
      <c r="F106" s="85"/>
      <c r="G106" s="90"/>
      <c r="H106" s="81">
        <f t="shared" si="77"/>
        <v>0</v>
      </c>
      <c r="I106" s="73">
        <v>8</v>
      </c>
      <c r="J106" s="47"/>
      <c r="K106" s="49"/>
      <c r="L106" s="44" t="s">
        <v>165</v>
      </c>
      <c r="M106" s="49"/>
      <c r="N106" s="61"/>
      <c r="O106" s="53"/>
      <c r="P106" s="53"/>
      <c r="Q106" s="53"/>
      <c r="R106" s="42">
        <f t="shared" si="74"/>
        <v>4</v>
      </c>
      <c r="S106" s="23" t="s">
        <v>105</v>
      </c>
      <c r="T106" s="21">
        <v>0</v>
      </c>
      <c r="U106" s="149">
        <f>(10000+IF(N106="Oui",4000,0)+IF(O106="Oui",8000,0)+IF(P106="Oui",16000,0)+IF(Q106="Oui",20000,0))*V106*(1-T106)</f>
        <v>0</v>
      </c>
      <c r="V106" s="146">
        <f t="shared" si="73"/>
        <v>0</v>
      </c>
    </row>
    <row r="107" spans="1:22" ht="15.75" thickBot="1" x14ac:dyDescent="0.3">
      <c r="A107" s="33" t="s">
        <v>83</v>
      </c>
      <c r="B107" s="99" t="str">
        <f>B$26</f>
        <v>Nourriture</v>
      </c>
      <c r="C107" s="100"/>
      <c r="D107" s="101" t="str">
        <f>D$26</f>
        <v>Bois</v>
      </c>
      <c r="E107" s="102"/>
      <c r="F107" s="101" t="str">
        <f t="shared" ref="F107" si="79">F$26</f>
        <v>Fer</v>
      </c>
      <c r="G107" s="102"/>
      <c r="H107" s="100" t="str">
        <f t="shared" ref="H107" si="80">H$26</f>
        <v>Gemmes</v>
      </c>
      <c r="I107" s="103"/>
      <c r="J107" s="6" t="str">
        <f>J$26</f>
        <v>Ferme</v>
      </c>
      <c r="K107" s="6" t="str">
        <f t="shared" ref="K107:Q107" si="81">K$26</f>
        <v>Scierie</v>
      </c>
      <c r="L107" s="6" t="str">
        <f t="shared" si="81"/>
        <v>Mine</v>
      </c>
      <c r="M107" s="36" t="str">
        <f t="shared" si="81"/>
        <v>Guilde Mages</v>
      </c>
      <c r="N107" s="6" t="str">
        <f t="shared" si="81"/>
        <v>Comptoir</v>
      </c>
      <c r="O107" s="6" t="str">
        <f t="shared" si="81"/>
        <v>Marché</v>
      </c>
      <c r="P107" s="6" t="str">
        <f t="shared" si="81"/>
        <v>Banque</v>
      </c>
      <c r="Q107" s="6" t="str">
        <f t="shared" si="81"/>
        <v>Palais</v>
      </c>
      <c r="R107" s="28"/>
      <c r="S107" s="3"/>
      <c r="T107" s="3"/>
      <c r="U107" s="150"/>
      <c r="V107" s="62"/>
    </row>
    <row r="108" spans="1:22" x14ac:dyDescent="0.25">
      <c r="A108" s="4" t="s">
        <v>86</v>
      </c>
      <c r="B108" s="66"/>
      <c r="C108" s="76"/>
      <c r="D108" s="83">
        <f>TRUNC(E108*V108*(1-T108)*IF(K108="Oui - niveau 1",1,IF(K108="Oui - niveau 2",1.25,IF(K108="Oui - niveau 3",1.5,0))))</f>
        <v>0</v>
      </c>
      <c r="E108" s="84">
        <v>8</v>
      </c>
      <c r="F108" s="85">
        <f>TRUNC(G108*V108*(1-T108)*IF(L108="Oui - niveau 1",1,IF(L108="Oui - niveau 2",1.25,IF(L108="Oui - niveau 3",1.5,0))))</f>
        <v>0</v>
      </c>
      <c r="G108" s="84">
        <v>12</v>
      </c>
      <c r="H108" s="81">
        <f>TRUNC(I108*V108*(1-T108)*IF(M108="Oui - niveau 1",1,IF(M108="Oui - niveau 2",1.25,IF(M108="Oui - niveau 3",1.5,0))))</f>
        <v>0</v>
      </c>
      <c r="I108" s="67">
        <v>4</v>
      </c>
      <c r="J108" s="44" t="s">
        <v>165</v>
      </c>
      <c r="K108" s="49"/>
      <c r="L108" s="49"/>
      <c r="M108" s="49"/>
      <c r="N108" s="59"/>
      <c r="O108" s="46"/>
      <c r="P108" s="46"/>
      <c r="Q108" s="46"/>
      <c r="R108" s="40">
        <f>IF(Q108="Oui",7,4)</f>
        <v>4</v>
      </c>
      <c r="S108" s="23" t="s">
        <v>105</v>
      </c>
      <c r="T108" s="21">
        <v>0</v>
      </c>
      <c r="U108" s="148">
        <f>(IF(G$6="Solstheim",30000,10000)+IF(N108="Oui",4000,0)+IF(O108="Oui",8000,0)+IF(P108="Oui",16000,0)+IF(Q108="Oui",20000,0))*V108*(1-T108)</f>
        <v>0</v>
      </c>
      <c r="V108" s="146">
        <f>IF(S108="Possédée",1,IF(S108="Assiégée",0.5,0))</f>
        <v>0</v>
      </c>
    </row>
    <row r="109" spans="1:22" x14ac:dyDescent="0.25">
      <c r="A109" s="4" t="s">
        <v>85</v>
      </c>
      <c r="B109" s="68"/>
      <c r="C109" s="77"/>
      <c r="D109" s="85">
        <f>TRUNC(E109*V109*(1-T109)*IF(K109="Oui - niveau 1",1,IF(K109="Oui - niveau 2",1.25,IF(K109="Oui - niveau 3",1.5,0))))</f>
        <v>0</v>
      </c>
      <c r="E109" s="86">
        <v>4</v>
      </c>
      <c r="F109" s="85">
        <f>TRUNC(G109*V109*(1-T109)*IF(L109="Oui - niveau 1",1,IF(L109="Oui - niveau 2",1.25,IF(L109="Oui - niveau 3",1.5,0))))</f>
        <v>0</v>
      </c>
      <c r="G109" s="86">
        <v>12</v>
      </c>
      <c r="H109" s="81">
        <f>TRUNC(I109*V109*(1-T109)*IF(M109="Oui - niveau 1",1,IF(M109="Oui - niveau 2",1.25,IF(M109="Oui - niveau 3",1.5,0))))</f>
        <v>0</v>
      </c>
      <c r="I109" s="69">
        <v>8</v>
      </c>
      <c r="J109" s="44" t="s">
        <v>165</v>
      </c>
      <c r="K109" s="49"/>
      <c r="L109" s="49"/>
      <c r="M109" s="49"/>
      <c r="N109" s="60"/>
      <c r="O109" s="49"/>
      <c r="P109" s="49"/>
      <c r="Q109" s="49"/>
      <c r="R109" s="41">
        <f t="shared" ref="R109:R110" si="82">IF(Q109="Oui",7,4)</f>
        <v>4</v>
      </c>
      <c r="S109" s="23" t="s">
        <v>105</v>
      </c>
      <c r="T109" s="21">
        <v>0</v>
      </c>
      <c r="U109" s="149">
        <f>(10000+IF(N109="Oui",4000,0)+IF(O109="Oui",8000,0)+IF(P109="Oui",16000,0)+IF(Q109="Oui",20000,0))*V109*(1-T109)</f>
        <v>0</v>
      </c>
      <c r="V109" s="146">
        <f>IF(S109="Possédée",1,IF(S109="Assiégée",0.5,0))</f>
        <v>0</v>
      </c>
    </row>
    <row r="110" spans="1:22" ht="15.75" thickBot="1" x14ac:dyDescent="0.3">
      <c r="A110" s="4" t="s">
        <v>84</v>
      </c>
      <c r="B110" s="70">
        <f t="shared" si="75"/>
        <v>0</v>
      </c>
      <c r="C110" s="78">
        <v>4</v>
      </c>
      <c r="D110" s="87">
        <f t="shared" ref="D110" si="83">TRUNC(E110*V110*(1-T110)*IF(K110="Oui - niveau 1",1,IF(K110="Oui - niveau 2",1.25,IF(K110="Oui - niveau 3",1.5,0))))</f>
        <v>0</v>
      </c>
      <c r="E110" s="88">
        <v>8</v>
      </c>
      <c r="F110" s="87">
        <f t="shared" ref="F110" si="84">TRUNC(G110*V110*(1-T110)*IF(L110="Oui - niveau 1",1,IF(L110="Oui - niveau 2",1.25,IF(L110="Oui - niveau 3",1.5,0))))</f>
        <v>0</v>
      </c>
      <c r="G110" s="88">
        <v>12</v>
      </c>
      <c r="H110" s="82"/>
      <c r="I110" s="71"/>
      <c r="J110" s="122"/>
      <c r="K110" s="122"/>
      <c r="L110" s="122"/>
      <c r="M110" s="123" t="s">
        <v>165</v>
      </c>
      <c r="N110" s="61"/>
      <c r="O110" s="53"/>
      <c r="P110" s="53"/>
      <c r="Q110" s="53"/>
      <c r="R110" s="41">
        <f t="shared" si="82"/>
        <v>4</v>
      </c>
      <c r="S110" s="23" t="s">
        <v>105</v>
      </c>
      <c r="T110" s="21">
        <v>0</v>
      </c>
      <c r="U110" s="149">
        <f>(10000+IF(N110="Oui",4000,0)+IF(O110="Oui",8000,0)+IF(P110="Oui",16000,0)+IF(Q110="Oui",20000,0))*V110*(1-T110)</f>
        <v>0</v>
      </c>
      <c r="V110" s="146">
        <f>IF(S110="Possédée",1,IF(S110="Assiégée",0.5,0))</f>
        <v>0</v>
      </c>
    </row>
    <row r="111" spans="1:22" ht="15.75" thickBot="1" x14ac:dyDescent="0.3">
      <c r="A111" s="33" t="s">
        <v>89</v>
      </c>
      <c r="B111" s="74">
        <f>TRUNC(C111*V111*(1-T111)*IF(J111="Oui - niveau 1",1,IF(J111="Oui - niveau 2",1.25,IF(J111="Oui - niveau 3",1.5,0))))</f>
        <v>0</v>
      </c>
      <c r="C111" s="80">
        <v>4</v>
      </c>
      <c r="D111" s="91"/>
      <c r="E111" s="92"/>
      <c r="F111" s="91">
        <f>TRUNC(G111*V111*(1-T111)*IF(L111="Oui - niveau 1",1,IF(L111="Oui - niveau 2",1.25,IF(L111="Oui - niveau 3",1.5,0))))</f>
        <v>0</v>
      </c>
      <c r="G111" s="92">
        <v>12</v>
      </c>
      <c r="H111" s="95">
        <f>TRUNC(I111*V111*(1-T111)*IF(M111="Oui - niveau 1",1,IF(M111="Oui - niveau 2",1.25,IF(M111="Oui - niveau 3",1.5,0))))</f>
        <v>0</v>
      </c>
      <c r="I111" s="75">
        <v>8</v>
      </c>
      <c r="J111" s="124"/>
      <c r="K111" s="125" t="s">
        <v>165</v>
      </c>
      <c r="L111" s="56"/>
      <c r="M111" s="57"/>
      <c r="N111" s="61"/>
      <c r="O111" s="53"/>
      <c r="P111" s="53"/>
      <c r="Q111" s="53"/>
      <c r="R111" s="40">
        <f>IF(Q111="Oui",7,4)</f>
        <v>4</v>
      </c>
      <c r="S111" s="26" t="s">
        <v>105</v>
      </c>
      <c r="T111" s="27">
        <v>0</v>
      </c>
      <c r="U111" s="148">
        <f>(IF(G$6="Orsinium",30000,10000)+IF(N111="Oui",4000,0)+IF(O111="Oui",8000,0)+IF(P111="Oui",16000,0)+IF(Q111="Oui",20000,0))*V111*(1-T111)</f>
        <v>0</v>
      </c>
      <c r="V111" s="147">
        <f>IF(S111="Possédée",1,IF(S111="Assiégée",0.5,0))</f>
        <v>0</v>
      </c>
    </row>
    <row r="112" spans="1:22" ht="15.75" thickBot="1" x14ac:dyDescent="0.3">
      <c r="A112" s="33" t="s">
        <v>141</v>
      </c>
      <c r="B112" s="99" t="str">
        <f>B$26</f>
        <v>Nourriture</v>
      </c>
      <c r="C112" s="100"/>
      <c r="D112" s="101" t="str">
        <f>D$26</f>
        <v>Bois</v>
      </c>
      <c r="E112" s="102"/>
      <c r="F112" s="101" t="str">
        <f t="shared" ref="F112" si="85">F$26</f>
        <v>Fer</v>
      </c>
      <c r="G112" s="102"/>
      <c r="H112" s="100" t="str">
        <f t="shared" ref="H112" si="86">H$26</f>
        <v>Gemmes</v>
      </c>
      <c r="I112" s="103"/>
      <c r="J112" s="6" t="str">
        <f>J$26</f>
        <v>Ferme</v>
      </c>
      <c r="K112" s="6" t="str">
        <f t="shared" ref="K112:Q112" si="87">K$26</f>
        <v>Scierie</v>
      </c>
      <c r="L112" s="6" t="str">
        <f t="shared" si="87"/>
        <v>Mine</v>
      </c>
      <c r="M112" s="36" t="str">
        <f t="shared" si="87"/>
        <v>Guilde Mages</v>
      </c>
      <c r="N112" s="6" t="str">
        <f t="shared" si="87"/>
        <v>Comptoir</v>
      </c>
      <c r="O112" s="6" t="str">
        <f t="shared" si="87"/>
        <v>Marché</v>
      </c>
      <c r="P112" s="6" t="str">
        <f t="shared" si="87"/>
        <v>Banque</v>
      </c>
      <c r="Q112" s="6" t="str">
        <f t="shared" si="87"/>
        <v>Palais</v>
      </c>
      <c r="R112" s="28"/>
      <c r="S112" s="3"/>
      <c r="T112" s="3"/>
      <c r="U112" s="150"/>
      <c r="V112" s="62"/>
    </row>
    <row r="113" spans="1:22" x14ac:dyDescent="0.25">
      <c r="A113" s="4" t="s">
        <v>91</v>
      </c>
      <c r="B113" s="66"/>
      <c r="C113" s="76"/>
      <c r="D113" s="83">
        <f>TRUNC(E113*V113*(1-T113)*IF(K113="Oui - niveau 1",1,IF(K113="Oui - niveau 2",1.25,IF(K113="Oui - niveau 3",1.5,0))))</f>
        <v>0</v>
      </c>
      <c r="E113" s="84">
        <v>8</v>
      </c>
      <c r="F113" s="85"/>
      <c r="G113" s="84"/>
      <c r="H113" s="81"/>
      <c r="I113" s="67"/>
      <c r="J113" s="44" t="s">
        <v>165</v>
      </c>
      <c r="K113" s="46" t="s">
        <v>170</v>
      </c>
      <c r="L113" s="44" t="s">
        <v>165</v>
      </c>
      <c r="M113" s="44" t="s">
        <v>165</v>
      </c>
      <c r="N113" s="59" t="s">
        <v>170</v>
      </c>
      <c r="O113" s="44" t="s">
        <v>165</v>
      </c>
      <c r="P113" s="44" t="s">
        <v>165</v>
      </c>
      <c r="Q113" s="44" t="s">
        <v>165</v>
      </c>
      <c r="R113" s="24">
        <v>1</v>
      </c>
      <c r="S113" s="23" t="s">
        <v>105</v>
      </c>
      <c r="T113" s="21">
        <v>0</v>
      </c>
      <c r="U113" s="149">
        <f>(IF(N113="Oui",4000,0)+IF(O113="Oui",8000,0)+IF(P113="Oui",16000,0)+IF(Q113="Oui",20000,0))*V113*(1-T113)</f>
        <v>0</v>
      </c>
      <c r="V113" s="146">
        <f t="shared" ref="V113:V118" si="88">IF(S113="Possédée",1,IF(S113="Assiégée",0.5,0))</f>
        <v>0</v>
      </c>
    </row>
    <row r="114" spans="1:22" x14ac:dyDescent="0.25">
      <c r="A114" s="4" t="s">
        <v>92</v>
      </c>
      <c r="B114" s="68"/>
      <c r="C114" s="77"/>
      <c r="D114" s="85">
        <f>TRUNC(E114*V114*(1-T114)*IF(K114="Oui - niveau 1",1,IF(K114="Oui - niveau 2",1.25,IF(K114="Oui - niveau 3",1.5,0))))</f>
        <v>0</v>
      </c>
      <c r="E114" s="86">
        <v>8</v>
      </c>
      <c r="F114" s="85"/>
      <c r="G114" s="86"/>
      <c r="H114" s="81"/>
      <c r="I114" s="69"/>
      <c r="J114" s="44" t="s">
        <v>165</v>
      </c>
      <c r="K114" s="49" t="s">
        <v>170</v>
      </c>
      <c r="L114" s="44" t="s">
        <v>165</v>
      </c>
      <c r="M114" s="44" t="s">
        <v>165</v>
      </c>
      <c r="N114" s="60" t="s">
        <v>170</v>
      </c>
      <c r="O114" s="44" t="s">
        <v>165</v>
      </c>
      <c r="P114" s="44" t="s">
        <v>165</v>
      </c>
      <c r="Q114" s="44" t="s">
        <v>165</v>
      </c>
      <c r="R114" s="39">
        <v>1</v>
      </c>
      <c r="S114" s="23" t="s">
        <v>105</v>
      </c>
      <c r="T114" s="21">
        <v>0</v>
      </c>
      <c r="U114" s="149">
        <f t="shared" ref="U114:U118" si="89">(IF(N114="Oui",4000,0)+IF(O114="Oui",8000,0)+IF(P114="Oui",16000,0)+IF(Q114="Oui",20000,0))*V114*(1-T114)</f>
        <v>0</v>
      </c>
      <c r="V114" s="146">
        <f t="shared" si="88"/>
        <v>0</v>
      </c>
    </row>
    <row r="115" spans="1:22" x14ac:dyDescent="0.25">
      <c r="A115" s="4" t="s">
        <v>93</v>
      </c>
      <c r="B115" s="68"/>
      <c r="C115" s="77"/>
      <c r="D115" s="85"/>
      <c r="E115" s="86"/>
      <c r="F115" s="85"/>
      <c r="G115" s="86"/>
      <c r="H115" s="81">
        <f t="shared" ref="H115:H116" si="90">TRUNC(I115*V115*(1-T115)*IF(M115="Oui - niveau 1",1,IF(M115="Oui - niveau 2",1.25,IF(M115="Oui - niveau 3",1.5,0))))</f>
        <v>0</v>
      </c>
      <c r="I115" s="69">
        <v>4</v>
      </c>
      <c r="J115" s="44" t="s">
        <v>165</v>
      </c>
      <c r="K115" s="44" t="s">
        <v>165</v>
      </c>
      <c r="L115" s="44" t="s">
        <v>165</v>
      </c>
      <c r="M115" s="49" t="s">
        <v>170</v>
      </c>
      <c r="N115" s="60" t="s">
        <v>170</v>
      </c>
      <c r="O115" s="44" t="s">
        <v>165</v>
      </c>
      <c r="P115" s="44" t="s">
        <v>165</v>
      </c>
      <c r="Q115" s="44" t="s">
        <v>165</v>
      </c>
      <c r="R115" s="39">
        <v>1</v>
      </c>
      <c r="S115" s="23" t="s">
        <v>105</v>
      </c>
      <c r="T115" s="21">
        <v>0</v>
      </c>
      <c r="U115" s="149">
        <f t="shared" si="89"/>
        <v>0</v>
      </c>
      <c r="V115" s="146">
        <f t="shared" si="88"/>
        <v>0</v>
      </c>
    </row>
    <row r="116" spans="1:22" x14ac:dyDescent="0.25">
      <c r="A116" s="4" t="s">
        <v>94</v>
      </c>
      <c r="B116" s="68"/>
      <c r="C116" s="77"/>
      <c r="D116" s="85"/>
      <c r="E116" s="86"/>
      <c r="F116" s="85"/>
      <c r="G116" s="86"/>
      <c r="H116" s="81">
        <f t="shared" si="90"/>
        <v>0</v>
      </c>
      <c r="I116" s="69">
        <v>4</v>
      </c>
      <c r="J116" s="44" t="s">
        <v>165</v>
      </c>
      <c r="K116" s="44" t="s">
        <v>165</v>
      </c>
      <c r="L116" s="44" t="s">
        <v>165</v>
      </c>
      <c r="M116" s="49" t="s">
        <v>170</v>
      </c>
      <c r="N116" s="60" t="s">
        <v>170</v>
      </c>
      <c r="O116" s="44" t="s">
        <v>165</v>
      </c>
      <c r="P116" s="44" t="s">
        <v>165</v>
      </c>
      <c r="Q116" s="44" t="s">
        <v>165</v>
      </c>
      <c r="R116" s="39">
        <v>1</v>
      </c>
      <c r="S116" s="23" t="s">
        <v>105</v>
      </c>
      <c r="T116" s="21">
        <v>0</v>
      </c>
      <c r="U116" s="149">
        <f t="shared" si="89"/>
        <v>0</v>
      </c>
      <c r="V116" s="146">
        <f t="shared" si="88"/>
        <v>0</v>
      </c>
    </row>
    <row r="117" spans="1:22" x14ac:dyDescent="0.25">
      <c r="A117" s="4" t="s">
        <v>95</v>
      </c>
      <c r="B117" s="68"/>
      <c r="C117" s="77"/>
      <c r="D117" s="85"/>
      <c r="E117" s="86"/>
      <c r="F117" s="85">
        <f t="shared" ref="F117:F118" si="91">TRUNC(G117*V117*(1-T117)*IF(L117="Oui - niveau 1",1,IF(L117="Oui - niveau 2",1.25,IF(L117="Oui - niveau 3",1.5,0))))</f>
        <v>0</v>
      </c>
      <c r="G117" s="86">
        <v>8</v>
      </c>
      <c r="H117" s="81"/>
      <c r="I117" s="69"/>
      <c r="J117" s="44" t="s">
        <v>165</v>
      </c>
      <c r="K117" s="44" t="s">
        <v>165</v>
      </c>
      <c r="L117" s="49" t="s">
        <v>170</v>
      </c>
      <c r="M117" s="44" t="s">
        <v>165</v>
      </c>
      <c r="N117" s="60" t="s">
        <v>170</v>
      </c>
      <c r="O117" s="44" t="s">
        <v>165</v>
      </c>
      <c r="P117" s="44" t="s">
        <v>165</v>
      </c>
      <c r="Q117" s="44" t="s">
        <v>165</v>
      </c>
      <c r="R117" s="39">
        <v>1</v>
      </c>
      <c r="S117" s="23" t="s">
        <v>105</v>
      </c>
      <c r="T117" s="21">
        <v>0</v>
      </c>
      <c r="U117" s="149">
        <f t="shared" si="89"/>
        <v>0</v>
      </c>
      <c r="V117" s="146">
        <f t="shared" si="88"/>
        <v>0</v>
      </c>
    </row>
    <row r="118" spans="1:22" ht="15.75" thickBot="1" x14ac:dyDescent="0.3">
      <c r="A118" s="5" t="s">
        <v>96</v>
      </c>
      <c r="B118" s="72"/>
      <c r="C118" s="79"/>
      <c r="D118" s="89"/>
      <c r="E118" s="90"/>
      <c r="F118" s="85">
        <f t="shared" si="91"/>
        <v>0</v>
      </c>
      <c r="G118" s="90">
        <v>8</v>
      </c>
      <c r="H118" s="81"/>
      <c r="I118" s="73"/>
      <c r="J118" s="44" t="s">
        <v>165</v>
      </c>
      <c r="K118" s="44" t="s">
        <v>165</v>
      </c>
      <c r="L118" s="49" t="s">
        <v>170</v>
      </c>
      <c r="M118" s="44" t="s">
        <v>165</v>
      </c>
      <c r="N118" s="60" t="s">
        <v>170</v>
      </c>
      <c r="O118" s="44" t="s">
        <v>165</v>
      </c>
      <c r="P118" s="44" t="s">
        <v>165</v>
      </c>
      <c r="Q118" s="44" t="s">
        <v>165</v>
      </c>
      <c r="R118" s="39">
        <v>1</v>
      </c>
      <c r="S118" s="23" t="s">
        <v>105</v>
      </c>
      <c r="T118" s="21">
        <v>0</v>
      </c>
      <c r="U118" s="149">
        <f t="shared" si="89"/>
        <v>0</v>
      </c>
      <c r="V118" s="146">
        <f t="shared" si="88"/>
        <v>0</v>
      </c>
    </row>
    <row r="119" spans="1:22" ht="15.75" thickBot="1" x14ac:dyDescent="0.3">
      <c r="A119" s="34" t="s">
        <v>133</v>
      </c>
      <c r="B119" s="29">
        <f t="shared" ref="B119:I119" si="92">SUM(B27:B118)</f>
        <v>0</v>
      </c>
      <c r="C119" s="63">
        <f t="shared" si="92"/>
        <v>472</v>
      </c>
      <c r="D119" s="93">
        <f t="shared" si="92"/>
        <v>0</v>
      </c>
      <c r="E119" s="94">
        <f t="shared" si="92"/>
        <v>468</v>
      </c>
      <c r="F119" s="93">
        <f t="shared" si="92"/>
        <v>0</v>
      </c>
      <c r="G119" s="94">
        <f t="shared" si="92"/>
        <v>468</v>
      </c>
      <c r="H119" s="65">
        <f t="shared" si="92"/>
        <v>0</v>
      </c>
      <c r="I119" s="64">
        <f t="shared" si="92"/>
        <v>456</v>
      </c>
      <c r="J119" s="31"/>
      <c r="K119" s="31"/>
      <c r="L119" s="31"/>
      <c r="M119" s="58"/>
      <c r="N119" s="31"/>
      <c r="O119" s="31"/>
      <c r="P119" s="31"/>
      <c r="Q119" s="31"/>
      <c r="R119" s="29"/>
      <c r="S119" s="18"/>
      <c r="T119" s="18"/>
      <c r="U119" s="151">
        <f>SUM(U27:U118)</f>
        <v>100000</v>
      </c>
      <c r="V119" s="18"/>
    </row>
    <row r="121" spans="1:22" x14ac:dyDescent="0.25">
      <c r="A121" t="s">
        <v>101</v>
      </c>
    </row>
    <row r="122" spans="1:22" x14ac:dyDescent="0.25">
      <c r="A122" t="s">
        <v>19</v>
      </c>
      <c r="E122" t="s">
        <v>130</v>
      </c>
    </row>
    <row r="123" spans="1:22" x14ac:dyDescent="0.25">
      <c r="A123" t="s">
        <v>20</v>
      </c>
      <c r="B123" s="19">
        <v>0</v>
      </c>
      <c r="C123" t="s">
        <v>110</v>
      </c>
      <c r="E123" t="s">
        <v>131</v>
      </c>
      <c r="H123">
        <f>COUNTIF(S27:S111,"Possédée")+COUNTIF(S27:S111,"Assiégée")</f>
        <v>8</v>
      </c>
    </row>
    <row r="124" spans="1:22" x14ac:dyDescent="0.25">
      <c r="A124" t="s">
        <v>21</v>
      </c>
      <c r="B124" s="19">
        <v>0.05</v>
      </c>
      <c r="C124" t="s">
        <v>111</v>
      </c>
      <c r="E124" t="s">
        <v>142</v>
      </c>
      <c r="H124">
        <f>COUNTIF(S113:S118,"Possédée")+COUNTIF(S113:S118,"Assiégée")</f>
        <v>0</v>
      </c>
    </row>
    <row r="125" spans="1:22" x14ac:dyDescent="0.25">
      <c r="A125" t="s">
        <v>30</v>
      </c>
      <c r="B125" s="19">
        <v>0.1</v>
      </c>
      <c r="C125" t="s">
        <v>112</v>
      </c>
      <c r="E125" s="12" t="s">
        <v>143</v>
      </c>
      <c r="H125">
        <f>H123+H124</f>
        <v>8</v>
      </c>
    </row>
    <row r="126" spans="1:22" x14ac:dyDescent="0.25">
      <c r="A126" t="s">
        <v>38</v>
      </c>
      <c r="B126" s="19">
        <v>0.15</v>
      </c>
      <c r="C126" t="s">
        <v>113</v>
      </c>
      <c r="E126" t="s">
        <v>132</v>
      </c>
      <c r="H126">
        <f>COUNTIF(S27:S119,"Assiégée")</f>
        <v>0</v>
      </c>
    </row>
    <row r="127" spans="1:22" x14ac:dyDescent="0.25">
      <c r="A127" t="s">
        <v>46</v>
      </c>
      <c r="B127" s="19">
        <v>0.2</v>
      </c>
      <c r="C127" t="s">
        <v>114</v>
      </c>
    </row>
    <row r="128" spans="1:22" x14ac:dyDescent="0.25">
      <c r="A128" t="s">
        <v>56</v>
      </c>
      <c r="B128" s="19">
        <v>0.25</v>
      </c>
      <c r="C128" t="s">
        <v>115</v>
      </c>
    </row>
    <row r="129" spans="1:3" x14ac:dyDescent="0.25">
      <c r="A129" t="s">
        <v>65</v>
      </c>
      <c r="B129" s="19">
        <v>0.3</v>
      </c>
      <c r="C129" t="s">
        <v>116</v>
      </c>
    </row>
    <row r="130" spans="1:3" x14ac:dyDescent="0.25">
      <c r="A130" t="s">
        <v>74</v>
      </c>
      <c r="B130" s="19">
        <v>0.35</v>
      </c>
      <c r="C130" t="s">
        <v>117</v>
      </c>
    </row>
    <row r="131" spans="1:3" x14ac:dyDescent="0.25">
      <c r="A131" t="s">
        <v>83</v>
      </c>
      <c r="B131" s="19">
        <v>0.4</v>
      </c>
      <c r="C131" t="s">
        <v>118</v>
      </c>
    </row>
    <row r="132" spans="1:3" x14ac:dyDescent="0.25">
      <c r="A132" t="s">
        <v>89</v>
      </c>
      <c r="B132" s="19">
        <v>0.45</v>
      </c>
      <c r="C132" t="s">
        <v>119</v>
      </c>
    </row>
    <row r="133" spans="1:3" x14ac:dyDescent="0.25">
      <c r="B133" s="19">
        <v>0.5</v>
      </c>
      <c r="C133" t="s">
        <v>120</v>
      </c>
    </row>
    <row r="134" spans="1:3" x14ac:dyDescent="0.25">
      <c r="B134" s="19">
        <v>0.55000000000000004</v>
      </c>
      <c r="C134" t="s">
        <v>121</v>
      </c>
    </row>
    <row r="135" spans="1:3" x14ac:dyDescent="0.25">
      <c r="B135" s="19">
        <v>0.6</v>
      </c>
      <c r="C135" t="s">
        <v>122</v>
      </c>
    </row>
    <row r="136" spans="1:3" x14ac:dyDescent="0.25">
      <c r="B136" s="19">
        <v>0.65</v>
      </c>
      <c r="C136" t="s">
        <v>123</v>
      </c>
    </row>
    <row r="137" spans="1:3" x14ac:dyDescent="0.25">
      <c r="B137" s="19">
        <v>0.7</v>
      </c>
      <c r="C137" t="s">
        <v>124</v>
      </c>
    </row>
    <row r="138" spans="1:3" x14ac:dyDescent="0.25">
      <c r="B138" s="19">
        <v>0.75</v>
      </c>
      <c r="C138" t="s">
        <v>125</v>
      </c>
    </row>
    <row r="139" spans="1:3" x14ac:dyDescent="0.25">
      <c r="B139" s="19">
        <v>0.8</v>
      </c>
      <c r="C139" t="s">
        <v>126</v>
      </c>
    </row>
    <row r="140" spans="1:3" x14ac:dyDescent="0.25">
      <c r="B140" s="19">
        <v>0.85</v>
      </c>
      <c r="C140" t="s">
        <v>127</v>
      </c>
    </row>
    <row r="141" spans="1:3" x14ac:dyDescent="0.25">
      <c r="B141" s="19">
        <v>0.9</v>
      </c>
      <c r="C141" t="s">
        <v>128</v>
      </c>
    </row>
    <row r="142" spans="1:3" x14ac:dyDescent="0.25">
      <c r="B142" s="19">
        <v>0.95</v>
      </c>
      <c r="C142" t="s">
        <v>129</v>
      </c>
    </row>
    <row r="143" spans="1:3" x14ac:dyDescent="0.25">
      <c r="B143" s="19">
        <v>1</v>
      </c>
      <c r="C143" t="s">
        <v>135</v>
      </c>
    </row>
    <row r="144" spans="1:3" x14ac:dyDescent="0.25">
      <c r="C144" t="s">
        <v>136</v>
      </c>
    </row>
    <row r="145" spans="3:3" x14ac:dyDescent="0.25">
      <c r="C145" t="s">
        <v>137</v>
      </c>
    </row>
    <row r="146" spans="3:3" x14ac:dyDescent="0.25">
      <c r="C146" t="s">
        <v>138</v>
      </c>
    </row>
    <row r="147" spans="3:3" x14ac:dyDescent="0.25">
      <c r="C147" t="s">
        <v>157</v>
      </c>
    </row>
  </sheetData>
  <mergeCells count="91">
    <mergeCell ref="B22:I22"/>
    <mergeCell ref="O8:P8"/>
    <mergeCell ref="Q8:S8"/>
    <mergeCell ref="T8:U8"/>
    <mergeCell ref="L18:M18"/>
    <mergeCell ref="L17:M17"/>
    <mergeCell ref="Q13:S13"/>
    <mergeCell ref="Q14:S14"/>
    <mergeCell ref="T9:U9"/>
    <mergeCell ref="T10:U10"/>
    <mergeCell ref="T11:U11"/>
    <mergeCell ref="T12:U12"/>
    <mergeCell ref="T13:U13"/>
    <mergeCell ref="T14:U14"/>
    <mergeCell ref="Q9:S9"/>
    <mergeCell ref="Q10:S10"/>
    <mergeCell ref="Q11:S11"/>
    <mergeCell ref="Q12:S12"/>
    <mergeCell ref="B19:I19"/>
    <mergeCell ref="B20:I20"/>
    <mergeCell ref="B21:I21"/>
    <mergeCell ref="O9:P9"/>
    <mergeCell ref="O10:P10"/>
    <mergeCell ref="O11:P11"/>
    <mergeCell ref="O12:P12"/>
    <mergeCell ref="O13:P13"/>
    <mergeCell ref="O14:P14"/>
    <mergeCell ref="B15:I15"/>
    <mergeCell ref="B13:I13"/>
    <mergeCell ref="B16:I16"/>
    <mergeCell ref="B17:I17"/>
    <mergeCell ref="B18:I18"/>
    <mergeCell ref="V25:V26"/>
    <mergeCell ref="S24:T24"/>
    <mergeCell ref="U24:V24"/>
    <mergeCell ref="D26:E26"/>
    <mergeCell ref="F26:G26"/>
    <mergeCell ref="H26:I26"/>
    <mergeCell ref="B25:I25"/>
    <mergeCell ref="N25:Q25"/>
    <mergeCell ref="R25:R26"/>
    <mergeCell ref="B112:C112"/>
    <mergeCell ref="D112:E112"/>
    <mergeCell ref="F112:G112"/>
    <mergeCell ref="H112:I112"/>
    <mergeCell ref="B24:I24"/>
    <mergeCell ref="B98:C98"/>
    <mergeCell ref="D98:E98"/>
    <mergeCell ref="F98:G98"/>
    <mergeCell ref="H98:I98"/>
    <mergeCell ref="B107:C107"/>
    <mergeCell ref="D107:E107"/>
    <mergeCell ref="F107:G107"/>
    <mergeCell ref="H107:I107"/>
    <mergeCell ref="B80:C80"/>
    <mergeCell ref="D80:E80"/>
    <mergeCell ref="F80:G80"/>
    <mergeCell ref="H80:I80"/>
    <mergeCell ref="B89:C89"/>
    <mergeCell ref="D89:E89"/>
    <mergeCell ref="F89:G89"/>
    <mergeCell ref="H89:I89"/>
    <mergeCell ref="B62:C62"/>
    <mergeCell ref="D62:E62"/>
    <mergeCell ref="F62:G62"/>
    <mergeCell ref="H62:I62"/>
    <mergeCell ref="B71:C71"/>
    <mergeCell ref="D71:E71"/>
    <mergeCell ref="F71:G71"/>
    <mergeCell ref="H71:I71"/>
    <mergeCell ref="B44:C44"/>
    <mergeCell ref="D44:E44"/>
    <mergeCell ref="F44:G44"/>
    <mergeCell ref="H44:I44"/>
    <mergeCell ref="B54:C54"/>
    <mergeCell ref="D54:E54"/>
    <mergeCell ref="F54:G54"/>
    <mergeCell ref="H54:I54"/>
    <mergeCell ref="G6:J6"/>
    <mergeCell ref="G7:H7"/>
    <mergeCell ref="B35:C35"/>
    <mergeCell ref="D35:E35"/>
    <mergeCell ref="F35:G35"/>
    <mergeCell ref="H35:I35"/>
    <mergeCell ref="J25:M25"/>
    <mergeCell ref="B26:C26"/>
    <mergeCell ref="J24:Q24"/>
    <mergeCell ref="B9:I9"/>
    <mergeCell ref="B10:I10"/>
    <mergeCell ref="B11:I11"/>
    <mergeCell ref="B12:I12"/>
  </mergeCells>
  <conditionalFormatting sqref="T27:T34">
    <cfRule type="cellIs" dxfId="144" priority="150" operator="greaterThan">
      <formula>0</formula>
    </cfRule>
  </conditionalFormatting>
  <conditionalFormatting sqref="S27:S34">
    <cfRule type="containsText" dxfId="143" priority="151" operator="containsText" text="Non Possédée">
      <formula>NOT(ISERROR(SEARCH("Non Possédée",S27)))</formula>
    </cfRule>
    <cfRule type="containsText" dxfId="142" priority="152" operator="containsText" text="Assiégée">
      <formula>NOT(ISERROR(SEARCH("Assiégée",S27)))</formula>
    </cfRule>
    <cfRule type="containsText" dxfId="141" priority="153" operator="containsText" text="Possédée">
      <formula>NOT(ISERROR(SEARCH("Possédée",S27)))</formula>
    </cfRule>
  </conditionalFormatting>
  <conditionalFormatting sqref="S36:S43">
    <cfRule type="containsText" dxfId="140" priority="147" operator="containsText" text="Non Possédée">
      <formula>NOT(ISERROR(SEARCH("Non Possédée",S36)))</formula>
    </cfRule>
    <cfRule type="containsText" dxfId="139" priority="148" operator="containsText" text="Assiégée">
      <formula>NOT(ISERROR(SEARCH("Assiégée",S36)))</formula>
    </cfRule>
    <cfRule type="containsText" dxfId="138" priority="149" operator="containsText" text="Possédée">
      <formula>NOT(ISERROR(SEARCH("Possédée",S36)))</formula>
    </cfRule>
  </conditionalFormatting>
  <conditionalFormatting sqref="T36:T43">
    <cfRule type="cellIs" dxfId="137" priority="146" operator="greaterThan">
      <formula>0</formula>
    </cfRule>
  </conditionalFormatting>
  <conditionalFormatting sqref="T47:T53">
    <cfRule type="cellIs" dxfId="133" priority="138" operator="greaterThan">
      <formula>0</formula>
    </cfRule>
  </conditionalFormatting>
  <conditionalFormatting sqref="T45:T46">
    <cfRule type="cellIs" dxfId="129" priority="134" operator="greaterThan">
      <formula>0</formula>
    </cfRule>
  </conditionalFormatting>
  <conditionalFormatting sqref="T55:T61">
    <cfRule type="cellIs" dxfId="125" priority="130" operator="greaterThan">
      <formula>0</formula>
    </cfRule>
  </conditionalFormatting>
  <conditionalFormatting sqref="T63:T70">
    <cfRule type="cellIs" dxfId="121" priority="126" operator="greaterThan">
      <formula>0</formula>
    </cfRule>
  </conditionalFormatting>
  <conditionalFormatting sqref="S114">
    <cfRule type="containsText" dxfId="120" priority="87" operator="containsText" text="Non Possédée">
      <formula>NOT(ISERROR(SEARCH("Non Possédée",S114)))</formula>
    </cfRule>
    <cfRule type="containsText" dxfId="119" priority="88" operator="containsText" text="Assiégée">
      <formula>NOT(ISERROR(SEARCH("Assiégée",S114)))</formula>
    </cfRule>
    <cfRule type="containsText" dxfId="118" priority="89" operator="containsText" text="Possédée">
      <formula>NOT(ISERROR(SEARCH("Possédée",S114)))</formula>
    </cfRule>
  </conditionalFormatting>
  <conditionalFormatting sqref="T72:T79">
    <cfRule type="cellIs" dxfId="117" priority="122" operator="greaterThan">
      <formula>0</formula>
    </cfRule>
  </conditionalFormatting>
  <conditionalFormatting sqref="T81:T88">
    <cfRule type="cellIs" dxfId="113" priority="118" operator="greaterThan">
      <formula>0</formula>
    </cfRule>
  </conditionalFormatting>
  <conditionalFormatting sqref="T90:T97">
    <cfRule type="cellIs" dxfId="109" priority="114" operator="greaterThan">
      <formula>0</formula>
    </cfRule>
  </conditionalFormatting>
  <conditionalFormatting sqref="T99:T106">
    <cfRule type="cellIs" dxfId="105" priority="110" operator="greaterThan">
      <formula>0</formula>
    </cfRule>
  </conditionalFormatting>
  <conditionalFormatting sqref="S108">
    <cfRule type="containsText" dxfId="104" priority="107" operator="containsText" text="Non Possédée">
      <formula>NOT(ISERROR(SEARCH("Non Possédée",S108)))</formula>
    </cfRule>
    <cfRule type="containsText" dxfId="103" priority="108" operator="containsText" text="Assiégée">
      <formula>NOT(ISERROR(SEARCH("Assiégée",S108)))</formula>
    </cfRule>
    <cfRule type="containsText" dxfId="102" priority="109" operator="containsText" text="Possédée">
      <formula>NOT(ISERROR(SEARCH("Possédée",S108)))</formula>
    </cfRule>
  </conditionalFormatting>
  <conditionalFormatting sqref="T108">
    <cfRule type="cellIs" dxfId="101" priority="106" operator="greaterThan">
      <formula>0</formula>
    </cfRule>
  </conditionalFormatting>
  <conditionalFormatting sqref="S109">
    <cfRule type="containsText" dxfId="100" priority="103" operator="containsText" text="Non Possédée">
      <formula>NOT(ISERROR(SEARCH("Non Possédée",S109)))</formula>
    </cfRule>
    <cfRule type="containsText" dxfId="99" priority="104" operator="containsText" text="Assiégée">
      <formula>NOT(ISERROR(SEARCH("Assiégée",S109)))</formula>
    </cfRule>
    <cfRule type="containsText" dxfId="98" priority="105" operator="containsText" text="Possédée">
      <formula>NOT(ISERROR(SEARCH("Possédée",S109)))</formula>
    </cfRule>
  </conditionalFormatting>
  <conditionalFormatting sqref="T109">
    <cfRule type="cellIs" dxfId="97" priority="102" operator="greaterThan">
      <formula>0</formula>
    </cfRule>
  </conditionalFormatting>
  <conditionalFormatting sqref="S110">
    <cfRule type="containsText" dxfId="96" priority="99" operator="containsText" text="Non Possédée">
      <formula>NOT(ISERROR(SEARCH("Non Possédée",S110)))</formula>
    </cfRule>
    <cfRule type="containsText" dxfId="95" priority="100" operator="containsText" text="Assiégée">
      <formula>NOT(ISERROR(SEARCH("Assiégée",S110)))</formula>
    </cfRule>
    <cfRule type="containsText" dxfId="94" priority="101" operator="containsText" text="Possédée">
      <formula>NOT(ISERROR(SEARCH("Possédée",S110)))</formula>
    </cfRule>
  </conditionalFormatting>
  <conditionalFormatting sqref="T110">
    <cfRule type="cellIs" dxfId="93" priority="98" operator="greaterThan">
      <formula>0</formula>
    </cfRule>
  </conditionalFormatting>
  <conditionalFormatting sqref="S111">
    <cfRule type="containsText" dxfId="92" priority="95" operator="containsText" text="Non Possédée">
      <formula>NOT(ISERROR(SEARCH("Non Possédée",S111)))</formula>
    </cfRule>
    <cfRule type="containsText" dxfId="91" priority="96" operator="containsText" text="Assiégée">
      <formula>NOT(ISERROR(SEARCH("Assiégée",S111)))</formula>
    </cfRule>
    <cfRule type="containsText" dxfId="90" priority="97" operator="containsText" text="Possédée">
      <formula>NOT(ISERROR(SEARCH("Possédée",S111)))</formula>
    </cfRule>
  </conditionalFormatting>
  <conditionalFormatting sqref="T111">
    <cfRule type="cellIs" dxfId="89" priority="94" operator="greaterThan">
      <formula>0</formula>
    </cfRule>
  </conditionalFormatting>
  <conditionalFormatting sqref="S113">
    <cfRule type="containsText" dxfId="88" priority="91" operator="containsText" text="Non Possédée">
      <formula>NOT(ISERROR(SEARCH("Non Possédée",S113)))</formula>
    </cfRule>
    <cfRule type="containsText" dxfId="87" priority="92" operator="containsText" text="Assiégée">
      <formula>NOT(ISERROR(SEARCH("Assiégée",S113)))</formula>
    </cfRule>
    <cfRule type="containsText" dxfId="86" priority="93" operator="containsText" text="Possédée">
      <formula>NOT(ISERROR(SEARCH("Possédée",S113)))</formula>
    </cfRule>
  </conditionalFormatting>
  <conditionalFormatting sqref="T113">
    <cfRule type="cellIs" dxfId="85" priority="90" operator="greaterThan">
      <formula>0</formula>
    </cfRule>
  </conditionalFormatting>
  <conditionalFormatting sqref="T114">
    <cfRule type="cellIs" dxfId="81" priority="86" operator="greaterThan">
      <formula>0</formula>
    </cfRule>
  </conditionalFormatting>
  <conditionalFormatting sqref="S115">
    <cfRule type="containsText" dxfId="80" priority="83" operator="containsText" text="Non Possédée">
      <formula>NOT(ISERROR(SEARCH("Non Possédée",S115)))</formula>
    </cfRule>
    <cfRule type="containsText" dxfId="79" priority="84" operator="containsText" text="Assiégée">
      <formula>NOT(ISERROR(SEARCH("Assiégée",S115)))</formula>
    </cfRule>
    <cfRule type="containsText" dxfId="78" priority="85" operator="containsText" text="Possédée">
      <formula>NOT(ISERROR(SEARCH("Possédée",S115)))</formula>
    </cfRule>
  </conditionalFormatting>
  <conditionalFormatting sqref="T115">
    <cfRule type="cellIs" dxfId="77" priority="82" operator="greaterThan">
      <formula>0</formula>
    </cfRule>
  </conditionalFormatting>
  <conditionalFormatting sqref="S117">
    <cfRule type="containsText" dxfId="76" priority="79" operator="containsText" text="Non Possédée">
      <formula>NOT(ISERROR(SEARCH("Non Possédée",S117)))</formula>
    </cfRule>
    <cfRule type="containsText" dxfId="75" priority="80" operator="containsText" text="Assiégée">
      <formula>NOT(ISERROR(SEARCH("Assiégée",S117)))</formula>
    </cfRule>
    <cfRule type="containsText" dxfId="74" priority="81" operator="containsText" text="Possédée">
      <formula>NOT(ISERROR(SEARCH("Possédée",S117)))</formula>
    </cfRule>
  </conditionalFormatting>
  <conditionalFormatting sqref="T117">
    <cfRule type="cellIs" dxfId="73" priority="78" operator="greaterThan">
      <formula>0</formula>
    </cfRule>
  </conditionalFormatting>
  <conditionalFormatting sqref="S116">
    <cfRule type="containsText" dxfId="72" priority="75" operator="containsText" text="Non Possédée">
      <formula>NOT(ISERROR(SEARCH("Non Possédée",S116)))</formula>
    </cfRule>
    <cfRule type="containsText" dxfId="71" priority="76" operator="containsText" text="Assiégée">
      <formula>NOT(ISERROR(SEARCH("Assiégée",S116)))</formula>
    </cfRule>
    <cfRule type="containsText" dxfId="70" priority="77" operator="containsText" text="Possédée">
      <formula>NOT(ISERROR(SEARCH("Possédée",S116)))</formula>
    </cfRule>
  </conditionalFormatting>
  <conditionalFormatting sqref="T116">
    <cfRule type="cellIs" dxfId="69" priority="74" operator="greaterThan">
      <formula>0</formula>
    </cfRule>
  </conditionalFormatting>
  <conditionalFormatting sqref="S118">
    <cfRule type="containsText" dxfId="68" priority="67" operator="containsText" text="Non Possédée">
      <formula>NOT(ISERROR(SEARCH("Non Possédée",S118)))</formula>
    </cfRule>
    <cfRule type="containsText" dxfId="67" priority="68" operator="containsText" text="Assiégée">
      <formula>NOT(ISERROR(SEARCH("Assiégée",S118)))</formula>
    </cfRule>
    <cfRule type="containsText" dxfId="66" priority="69" operator="containsText" text="Possédée">
      <formula>NOT(ISERROR(SEARCH("Possédée",S118)))</formula>
    </cfRule>
  </conditionalFormatting>
  <conditionalFormatting sqref="T118">
    <cfRule type="cellIs" dxfId="65" priority="66" operator="greaterThan">
      <formula>0</formula>
    </cfRule>
  </conditionalFormatting>
  <conditionalFormatting sqref="J27:Q118">
    <cfRule type="containsText" dxfId="64" priority="64" operator="containsText" text="Non">
      <formula>NOT(ISERROR(SEARCH("Non",J27)))</formula>
    </cfRule>
    <cfRule type="containsText" dxfId="63" priority="65" operator="containsText" text="Oui">
      <formula>NOT(ISERROR(SEARCH("Oui",J27)))</formula>
    </cfRule>
  </conditionalFormatting>
  <conditionalFormatting sqref="S45:S47">
    <cfRule type="containsText" dxfId="62" priority="61" operator="containsText" text="Non Possédée">
      <formula>NOT(ISERROR(SEARCH("Non Possédée",S45)))</formula>
    </cfRule>
    <cfRule type="containsText" dxfId="61" priority="62" operator="containsText" text="Assiégée">
      <formula>NOT(ISERROR(SEARCH("Assiégée",S45)))</formula>
    </cfRule>
    <cfRule type="containsText" dxfId="60" priority="63" operator="containsText" text="Possédée">
      <formula>NOT(ISERROR(SEARCH("Possédée",S45)))</formula>
    </cfRule>
  </conditionalFormatting>
  <conditionalFormatting sqref="S48:S50">
    <cfRule type="containsText" dxfId="59" priority="58" operator="containsText" text="Non Possédée">
      <formula>NOT(ISERROR(SEARCH("Non Possédée",S48)))</formula>
    </cfRule>
    <cfRule type="containsText" dxfId="58" priority="59" operator="containsText" text="Assiégée">
      <formula>NOT(ISERROR(SEARCH("Assiégée",S48)))</formula>
    </cfRule>
    <cfRule type="containsText" dxfId="57" priority="60" operator="containsText" text="Possédée">
      <formula>NOT(ISERROR(SEARCH("Possédée",S48)))</formula>
    </cfRule>
  </conditionalFormatting>
  <conditionalFormatting sqref="S51:S53">
    <cfRule type="containsText" dxfId="56" priority="55" operator="containsText" text="Non Possédée">
      <formula>NOT(ISERROR(SEARCH("Non Possédée",S51)))</formula>
    </cfRule>
    <cfRule type="containsText" dxfId="55" priority="56" operator="containsText" text="Assiégée">
      <formula>NOT(ISERROR(SEARCH("Assiégée",S51)))</formula>
    </cfRule>
    <cfRule type="containsText" dxfId="54" priority="57" operator="containsText" text="Possédée">
      <formula>NOT(ISERROR(SEARCH("Possédée",S51)))</formula>
    </cfRule>
  </conditionalFormatting>
  <conditionalFormatting sqref="S55:S57">
    <cfRule type="containsText" dxfId="53" priority="52" operator="containsText" text="Non Possédée">
      <formula>NOT(ISERROR(SEARCH("Non Possédée",S55)))</formula>
    </cfRule>
    <cfRule type="containsText" dxfId="52" priority="53" operator="containsText" text="Assiégée">
      <formula>NOT(ISERROR(SEARCH("Assiégée",S55)))</formula>
    </cfRule>
    <cfRule type="containsText" dxfId="51" priority="54" operator="containsText" text="Possédée">
      <formula>NOT(ISERROR(SEARCH("Possédée",S55)))</formula>
    </cfRule>
  </conditionalFormatting>
  <conditionalFormatting sqref="S58:S60">
    <cfRule type="containsText" dxfId="50" priority="49" operator="containsText" text="Non Possédée">
      <formula>NOT(ISERROR(SEARCH("Non Possédée",S58)))</formula>
    </cfRule>
    <cfRule type="containsText" dxfId="49" priority="50" operator="containsText" text="Assiégée">
      <formula>NOT(ISERROR(SEARCH("Assiégée",S58)))</formula>
    </cfRule>
    <cfRule type="containsText" dxfId="48" priority="51" operator="containsText" text="Possédée">
      <formula>NOT(ISERROR(SEARCH("Possédée",S58)))</formula>
    </cfRule>
  </conditionalFormatting>
  <conditionalFormatting sqref="S61">
    <cfRule type="containsText" dxfId="47" priority="46" operator="containsText" text="Non Possédée">
      <formula>NOT(ISERROR(SEARCH("Non Possédée",S61)))</formula>
    </cfRule>
    <cfRule type="containsText" dxfId="46" priority="47" operator="containsText" text="Assiégée">
      <formula>NOT(ISERROR(SEARCH("Assiégée",S61)))</formula>
    </cfRule>
    <cfRule type="containsText" dxfId="45" priority="48" operator="containsText" text="Possédée">
      <formula>NOT(ISERROR(SEARCH("Possédée",S61)))</formula>
    </cfRule>
  </conditionalFormatting>
  <conditionalFormatting sqref="S63:S65">
    <cfRule type="containsText" dxfId="44" priority="43" operator="containsText" text="Non Possédée">
      <formula>NOT(ISERROR(SEARCH("Non Possédée",S63)))</formula>
    </cfRule>
    <cfRule type="containsText" dxfId="43" priority="44" operator="containsText" text="Assiégée">
      <formula>NOT(ISERROR(SEARCH("Assiégée",S63)))</formula>
    </cfRule>
    <cfRule type="containsText" dxfId="42" priority="45" operator="containsText" text="Possédée">
      <formula>NOT(ISERROR(SEARCH("Possédée",S63)))</formula>
    </cfRule>
  </conditionalFormatting>
  <conditionalFormatting sqref="S66:S68">
    <cfRule type="containsText" dxfId="41" priority="40" operator="containsText" text="Non Possédée">
      <formula>NOT(ISERROR(SEARCH("Non Possédée",S66)))</formula>
    </cfRule>
    <cfRule type="containsText" dxfId="40" priority="41" operator="containsText" text="Assiégée">
      <formula>NOT(ISERROR(SEARCH("Assiégée",S66)))</formula>
    </cfRule>
    <cfRule type="containsText" dxfId="39" priority="42" operator="containsText" text="Possédée">
      <formula>NOT(ISERROR(SEARCH("Possédée",S66)))</formula>
    </cfRule>
  </conditionalFormatting>
  <conditionalFormatting sqref="S69:S70">
    <cfRule type="containsText" dxfId="38" priority="37" operator="containsText" text="Non Possédée">
      <formula>NOT(ISERROR(SEARCH("Non Possédée",S69)))</formula>
    </cfRule>
    <cfRule type="containsText" dxfId="37" priority="38" operator="containsText" text="Assiégée">
      <formula>NOT(ISERROR(SEARCH("Assiégée",S69)))</formula>
    </cfRule>
    <cfRule type="containsText" dxfId="36" priority="39" operator="containsText" text="Possédée">
      <formula>NOT(ISERROR(SEARCH("Possédée",S69)))</formula>
    </cfRule>
  </conditionalFormatting>
  <conditionalFormatting sqref="S72:S74">
    <cfRule type="containsText" dxfId="35" priority="34" operator="containsText" text="Non Possédée">
      <formula>NOT(ISERROR(SEARCH("Non Possédée",S72)))</formula>
    </cfRule>
    <cfRule type="containsText" dxfId="34" priority="35" operator="containsText" text="Assiégée">
      <formula>NOT(ISERROR(SEARCH("Assiégée",S72)))</formula>
    </cfRule>
    <cfRule type="containsText" dxfId="33" priority="36" operator="containsText" text="Possédée">
      <formula>NOT(ISERROR(SEARCH("Possédée",S72)))</formula>
    </cfRule>
  </conditionalFormatting>
  <conditionalFormatting sqref="S75:S77">
    <cfRule type="containsText" dxfId="32" priority="31" operator="containsText" text="Non Possédée">
      <formula>NOT(ISERROR(SEARCH("Non Possédée",S75)))</formula>
    </cfRule>
    <cfRule type="containsText" dxfId="31" priority="32" operator="containsText" text="Assiégée">
      <formula>NOT(ISERROR(SEARCH("Assiégée",S75)))</formula>
    </cfRule>
    <cfRule type="containsText" dxfId="30" priority="33" operator="containsText" text="Possédée">
      <formula>NOT(ISERROR(SEARCH("Possédée",S75)))</formula>
    </cfRule>
  </conditionalFormatting>
  <conditionalFormatting sqref="S78:S79">
    <cfRule type="containsText" dxfId="29" priority="28" operator="containsText" text="Non Possédée">
      <formula>NOT(ISERROR(SEARCH("Non Possédée",S78)))</formula>
    </cfRule>
    <cfRule type="containsText" dxfId="28" priority="29" operator="containsText" text="Assiégée">
      <formula>NOT(ISERROR(SEARCH("Assiégée",S78)))</formula>
    </cfRule>
    <cfRule type="containsText" dxfId="27" priority="30" operator="containsText" text="Possédée">
      <formula>NOT(ISERROR(SEARCH("Possédée",S78)))</formula>
    </cfRule>
  </conditionalFormatting>
  <conditionalFormatting sqref="S81:S83">
    <cfRule type="containsText" dxfId="26" priority="25" operator="containsText" text="Non Possédée">
      <formula>NOT(ISERROR(SEARCH("Non Possédée",S81)))</formula>
    </cfRule>
    <cfRule type="containsText" dxfId="25" priority="26" operator="containsText" text="Assiégée">
      <formula>NOT(ISERROR(SEARCH("Assiégée",S81)))</formula>
    </cfRule>
    <cfRule type="containsText" dxfId="24" priority="27" operator="containsText" text="Possédée">
      <formula>NOT(ISERROR(SEARCH("Possédée",S81)))</formula>
    </cfRule>
  </conditionalFormatting>
  <conditionalFormatting sqref="S84:S86">
    <cfRule type="containsText" dxfId="23" priority="22" operator="containsText" text="Non Possédée">
      <formula>NOT(ISERROR(SEARCH("Non Possédée",S84)))</formula>
    </cfRule>
    <cfRule type="containsText" dxfId="22" priority="23" operator="containsText" text="Assiégée">
      <formula>NOT(ISERROR(SEARCH("Assiégée",S84)))</formula>
    </cfRule>
    <cfRule type="containsText" dxfId="21" priority="24" operator="containsText" text="Possédée">
      <formula>NOT(ISERROR(SEARCH("Possédée",S84)))</formula>
    </cfRule>
  </conditionalFormatting>
  <conditionalFormatting sqref="S87:S88">
    <cfRule type="containsText" dxfId="20" priority="19" operator="containsText" text="Non Possédée">
      <formula>NOT(ISERROR(SEARCH("Non Possédée",S87)))</formula>
    </cfRule>
    <cfRule type="containsText" dxfId="19" priority="20" operator="containsText" text="Assiégée">
      <formula>NOT(ISERROR(SEARCH("Assiégée",S87)))</formula>
    </cfRule>
    <cfRule type="containsText" dxfId="18" priority="21" operator="containsText" text="Possédée">
      <formula>NOT(ISERROR(SEARCH("Possédée",S87)))</formula>
    </cfRule>
  </conditionalFormatting>
  <conditionalFormatting sqref="S90:S92">
    <cfRule type="containsText" dxfId="17" priority="16" operator="containsText" text="Non Possédée">
      <formula>NOT(ISERROR(SEARCH("Non Possédée",S90)))</formula>
    </cfRule>
    <cfRule type="containsText" dxfId="16" priority="17" operator="containsText" text="Assiégée">
      <formula>NOT(ISERROR(SEARCH("Assiégée",S90)))</formula>
    </cfRule>
    <cfRule type="containsText" dxfId="15" priority="18" operator="containsText" text="Possédée">
      <formula>NOT(ISERROR(SEARCH("Possédée",S90)))</formula>
    </cfRule>
  </conditionalFormatting>
  <conditionalFormatting sqref="S93:S95">
    <cfRule type="containsText" dxfId="14" priority="13" operator="containsText" text="Non Possédée">
      <formula>NOT(ISERROR(SEARCH("Non Possédée",S93)))</formula>
    </cfRule>
    <cfRule type="containsText" dxfId="13" priority="14" operator="containsText" text="Assiégée">
      <formula>NOT(ISERROR(SEARCH("Assiégée",S93)))</formula>
    </cfRule>
    <cfRule type="containsText" dxfId="12" priority="15" operator="containsText" text="Possédée">
      <formula>NOT(ISERROR(SEARCH("Possédée",S93)))</formula>
    </cfRule>
  </conditionalFormatting>
  <conditionalFormatting sqref="S96:S97">
    <cfRule type="containsText" dxfId="11" priority="10" operator="containsText" text="Non Possédée">
      <formula>NOT(ISERROR(SEARCH("Non Possédée",S96)))</formula>
    </cfRule>
    <cfRule type="containsText" dxfId="10" priority="11" operator="containsText" text="Assiégée">
      <formula>NOT(ISERROR(SEARCH("Assiégée",S96)))</formula>
    </cfRule>
    <cfRule type="containsText" dxfId="9" priority="12" operator="containsText" text="Possédée">
      <formula>NOT(ISERROR(SEARCH("Possédée",S96)))</formula>
    </cfRule>
  </conditionalFormatting>
  <conditionalFormatting sqref="S99:S101">
    <cfRule type="containsText" dxfId="8" priority="7" operator="containsText" text="Non Possédée">
      <formula>NOT(ISERROR(SEARCH("Non Possédée",S99)))</formula>
    </cfRule>
    <cfRule type="containsText" dxfId="7" priority="8" operator="containsText" text="Assiégée">
      <formula>NOT(ISERROR(SEARCH("Assiégée",S99)))</formula>
    </cfRule>
    <cfRule type="containsText" dxfId="6" priority="9" operator="containsText" text="Possédée">
      <formula>NOT(ISERROR(SEARCH("Possédée",S99)))</formula>
    </cfRule>
  </conditionalFormatting>
  <conditionalFormatting sqref="S102:S104">
    <cfRule type="containsText" dxfId="5" priority="4" operator="containsText" text="Non Possédée">
      <formula>NOT(ISERROR(SEARCH("Non Possédée",S102)))</formula>
    </cfRule>
    <cfRule type="containsText" dxfId="4" priority="5" operator="containsText" text="Assiégée">
      <formula>NOT(ISERROR(SEARCH("Assiégée",S102)))</formula>
    </cfRule>
    <cfRule type="containsText" dxfId="3" priority="6" operator="containsText" text="Possédée">
      <formula>NOT(ISERROR(SEARCH("Possédée",S102)))</formula>
    </cfRule>
  </conditionalFormatting>
  <conditionalFormatting sqref="S105:S106">
    <cfRule type="containsText" dxfId="2" priority="1" operator="containsText" text="Non Possédée">
      <formula>NOT(ISERROR(SEARCH("Non Possédée",S105)))</formula>
    </cfRule>
    <cfRule type="containsText" dxfId="1" priority="2" operator="containsText" text="Assiégée">
      <formula>NOT(ISERROR(SEARCH("Assiégée",S105)))</formula>
    </cfRule>
    <cfRule type="containsText" dxfId="0" priority="3" operator="containsText" text="Possédée">
      <formula>NOT(ISERROR(SEARCH("Possédée",S105)))</formula>
    </cfRule>
  </conditionalFormatting>
  <dataValidations count="6">
    <dataValidation type="list" allowBlank="1" showInputMessage="1" showErrorMessage="1" sqref="T27:T34 T36:T43 T45:T53 T55:T61 T63:T70 T72:T79 T81:T88 T90:T97 T99:T106 T108:T111 T113:T118">
      <formula1>Malus</formula1>
    </dataValidation>
    <dataValidation type="list" allowBlank="1" showInputMessage="1" showErrorMessage="1" sqref="S27:S34 S113:S118 S36:S43 S45:S53 S55:S61 S63:S70 S72:S79 S81:S88 S90:S97 S108:S111 S99:S106">
      <formula1>"Possédée,Assiégée,Non Possédée"</formula1>
    </dataValidation>
    <dataValidation type="list" errorStyle="information" allowBlank="1" showInputMessage="1" showErrorMessage="1" sqref="G7">
      <formula1>Année</formula1>
    </dataValidation>
    <dataValidation type="list" allowBlank="1" showInputMessage="1" showErrorMessage="1" sqref="G6">
      <formula1>Provinces</formula1>
    </dataValidation>
    <dataValidation type="list" allowBlank="1" showInputMessage="1" showErrorMessage="1" sqref="N63:Q70 N36:Q43 N72:Q79 N81:Q88 N99:Q106 N113:N118 N45:Q53 N108:Q111 N55:Q61 N90:Q97 N27:Q34">
      <formula1>"Oui,Non"</formula1>
    </dataValidation>
    <dataValidation type="list" allowBlank="1" showInputMessage="1" showErrorMessage="1" sqref="K67:K71 L117:L118 L46:L47 M115:M116 M111:M112 J110:J112 L89:L99 L107:L112 M104:M109 L102:L103 K29:K49 M94:M102 L68 L65:L66 J93:J107 M42:M45 K112:K114 L54 J33:J35 L50 M48:M59 J37:J41 J44:J55 M27:M36 L27:L28 L35:L44 L32 J27:J31 K98 M61:M72 K73 M74 J60:J76 M77 L71:L80 J78:J82 J84 M80:M83 L83:L85 K75:K89 J86:J90 M85:M92 K91:K93 K51:K64 K100:K101 K103:K110 L56:L60 L62">
      <formula1>"Oui - niveau 1,Oui - niveau 2,Oui - niveau 3,Non"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Ressources V11</vt:lpstr>
      <vt:lpstr>Année</vt:lpstr>
      <vt:lpstr>Malus</vt:lpstr>
      <vt:lpstr>Provinces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2013-01-14T22:47:47Z</dcterms:created>
  <dcterms:modified xsi:type="dcterms:W3CDTF">2013-12-19T16:33:01Z</dcterms:modified>
</cp:coreProperties>
</file>